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187" i="1"/>
  <c r="H187"/>
  <c r="G187"/>
  <c r="I186"/>
  <c r="H186"/>
  <c r="G186"/>
  <c r="I185"/>
  <c r="H185"/>
  <c r="G185"/>
  <c r="J185" s="1"/>
  <c r="I189"/>
  <c r="H189"/>
  <c r="G189"/>
  <c r="I191"/>
  <c r="H191"/>
  <c r="G191"/>
  <c r="J191" s="1"/>
  <c r="I190"/>
  <c r="H190"/>
  <c r="G190"/>
  <c r="I172"/>
  <c r="H172"/>
  <c r="G172"/>
  <c r="J172" s="1"/>
  <c r="I171"/>
  <c r="H171"/>
  <c r="G171"/>
  <c r="I170"/>
  <c r="H170"/>
  <c r="G170"/>
  <c r="J170" s="1"/>
  <c r="I169"/>
  <c r="H169"/>
  <c r="G169"/>
  <c r="I168"/>
  <c r="H168"/>
  <c r="G168"/>
  <c r="I167"/>
  <c r="H167"/>
  <c r="J167" s="1"/>
  <c r="G167"/>
  <c r="I166"/>
  <c r="H166"/>
  <c r="G166"/>
  <c r="I151"/>
  <c r="H151"/>
  <c r="G151"/>
  <c r="I150"/>
  <c r="H150"/>
  <c r="G150"/>
  <c r="J150" s="1"/>
  <c r="I149"/>
  <c r="H149"/>
  <c r="G149"/>
  <c r="I148"/>
  <c r="H148"/>
  <c r="G148"/>
  <c r="J148" s="1"/>
  <c r="I147"/>
  <c r="H147"/>
  <c r="G147"/>
  <c r="I153"/>
  <c r="H153"/>
  <c r="G153"/>
  <c r="J153" s="1"/>
  <c r="I152"/>
  <c r="H152"/>
  <c r="G152"/>
  <c r="I134"/>
  <c r="H134"/>
  <c r="G134"/>
  <c r="J134" s="1"/>
  <c r="I133"/>
  <c r="H133"/>
  <c r="G133"/>
  <c r="I132"/>
  <c r="H132"/>
  <c r="G132"/>
  <c r="J132" s="1"/>
  <c r="I131"/>
  <c r="H131"/>
  <c r="G131"/>
  <c r="I130"/>
  <c r="H130"/>
  <c r="G130"/>
  <c r="J130" s="1"/>
  <c r="I129"/>
  <c r="H129"/>
  <c r="G129"/>
  <c r="I128"/>
  <c r="H128"/>
  <c r="G128"/>
  <c r="J128" s="1"/>
  <c r="I112"/>
  <c r="H112"/>
  <c r="G112"/>
  <c r="I111"/>
  <c r="H111"/>
  <c r="G111"/>
  <c r="J111" s="1"/>
  <c r="I110"/>
  <c r="H110"/>
  <c r="G110"/>
  <c r="I109"/>
  <c r="H109"/>
  <c r="G109"/>
  <c r="J109" s="1"/>
  <c r="I115"/>
  <c r="H115"/>
  <c r="G115"/>
  <c r="I114"/>
  <c r="H114"/>
  <c r="G114"/>
  <c r="J114" s="1"/>
  <c r="I113"/>
  <c r="H113"/>
  <c r="G113"/>
  <c r="I96"/>
  <c r="H96"/>
  <c r="G96"/>
  <c r="J96" s="1"/>
  <c r="I95"/>
  <c r="H95"/>
  <c r="G95"/>
  <c r="I94"/>
  <c r="H94"/>
  <c r="G94"/>
  <c r="J94" s="1"/>
  <c r="I92"/>
  <c r="H92"/>
  <c r="G92"/>
  <c r="I91"/>
  <c r="H91"/>
  <c r="G91"/>
  <c r="J91" s="1"/>
  <c r="I90"/>
  <c r="H90"/>
  <c r="G90"/>
  <c r="I77"/>
  <c r="H77"/>
  <c r="G77"/>
  <c r="J77" s="1"/>
  <c r="I76"/>
  <c r="H76"/>
  <c r="G76"/>
  <c r="I75"/>
  <c r="H75"/>
  <c r="G75"/>
  <c r="J75" s="1"/>
  <c r="I74"/>
  <c r="H74"/>
  <c r="G74"/>
  <c r="I73"/>
  <c r="H73"/>
  <c r="G73"/>
  <c r="J73" s="1"/>
  <c r="I72"/>
  <c r="H72"/>
  <c r="G72"/>
  <c r="I71"/>
  <c r="H71"/>
  <c r="G71"/>
  <c r="J71" s="1"/>
  <c r="I56"/>
  <c r="H56"/>
  <c r="G56"/>
  <c r="I55"/>
  <c r="H55"/>
  <c r="G55"/>
  <c r="J55" s="1"/>
  <c r="I54"/>
  <c r="H54"/>
  <c r="J54" s="1"/>
  <c r="G54"/>
  <c r="I53"/>
  <c r="H53"/>
  <c r="G53"/>
  <c r="I52"/>
  <c r="H52"/>
  <c r="J52" s="1"/>
  <c r="G52"/>
  <c r="I58"/>
  <c r="H58"/>
  <c r="G58"/>
  <c r="J58" s="1"/>
  <c r="I57"/>
  <c r="H57"/>
  <c r="G57"/>
  <c r="I37"/>
  <c r="H37"/>
  <c r="G37"/>
  <c r="J37" s="1"/>
  <c r="I36"/>
  <c r="H36"/>
  <c r="G36"/>
  <c r="I35"/>
  <c r="H35"/>
  <c r="G35"/>
  <c r="I34"/>
  <c r="H34"/>
  <c r="J34" s="1"/>
  <c r="G34"/>
  <c r="I33"/>
  <c r="H33"/>
  <c r="G33"/>
  <c r="I40"/>
  <c r="H40"/>
  <c r="G40"/>
  <c r="I39"/>
  <c r="H39"/>
  <c r="G39"/>
  <c r="J39" s="1"/>
  <c r="I38"/>
  <c r="H38"/>
  <c r="G38"/>
  <c r="I21"/>
  <c r="H21"/>
  <c r="G21"/>
  <c r="J21" s="1"/>
  <c r="I20"/>
  <c r="H20"/>
  <c r="G20"/>
  <c r="I19"/>
  <c r="H19"/>
  <c r="G19"/>
  <c r="J19" s="1"/>
  <c r="I18"/>
  <c r="H18"/>
  <c r="G18"/>
  <c r="I17"/>
  <c r="H17"/>
  <c r="G17"/>
  <c r="J17" s="1"/>
  <c r="I16"/>
  <c r="H16"/>
  <c r="G16"/>
  <c r="I15"/>
  <c r="H15"/>
  <c r="G15"/>
  <c r="J15" s="1"/>
  <c r="I14"/>
  <c r="H14"/>
  <c r="G14"/>
  <c r="J187" l="1"/>
  <c r="J14"/>
  <c r="J16"/>
  <c r="J18"/>
  <c r="J20"/>
  <c r="J38"/>
  <c r="J40"/>
  <c r="J33"/>
  <c r="J35"/>
  <c r="J36"/>
  <c r="J57"/>
  <c r="J53"/>
  <c r="J56"/>
  <c r="J72"/>
  <c r="J74"/>
  <c r="J76"/>
  <c r="J90"/>
  <c r="J92"/>
  <c r="J95"/>
  <c r="J113"/>
  <c r="J115"/>
  <c r="J110"/>
  <c r="J112"/>
  <c r="J129"/>
  <c r="J131"/>
  <c r="J133"/>
  <c r="J152"/>
  <c r="J147"/>
  <c r="J156" s="1"/>
  <c r="J149"/>
  <c r="J151"/>
  <c r="J166"/>
  <c r="J168"/>
  <c r="J175" s="1"/>
  <c r="J169"/>
  <c r="J171"/>
  <c r="J190"/>
  <c r="J189"/>
  <c r="J194" s="1"/>
  <c r="J186"/>
  <c r="B195"/>
  <c r="A195"/>
  <c r="L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I24" s="1"/>
  <c r="I196" s="1"/>
  <c r="H13"/>
  <c r="H24" s="1"/>
  <c r="H196" s="1"/>
  <c r="G13"/>
  <c r="G24" s="1"/>
  <c r="G196" s="1"/>
  <c r="F13"/>
  <c r="F24" s="1"/>
  <c r="F196" s="1"/>
  <c r="J176" l="1"/>
  <c r="J195"/>
  <c r="L100"/>
  <c r="L81"/>
  <c r="L24"/>
  <c r="J157"/>
  <c r="J196" s="1"/>
  <c r="L196" l="1"/>
</calcChain>
</file>

<file path=xl/sharedStrings.xml><?xml version="1.0" encoding="utf-8"?>
<sst xmlns="http://schemas.openxmlformats.org/spreadsheetml/2006/main" count="328" uniqueCount="129">
  <si>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</si>
  <si>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</si>
  <si>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</si>
  <si>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</si>
  <si>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</si>
  <si>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</si>
  <si>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</si>
  <si>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</si>
  <si>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</si>
  <si>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</si>
  <si>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</si>
  <si>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</si>
  <si>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</si>
  <si>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</si>
  <si>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</si>
  <si>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</si>
  <si>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</si>
  <si>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</si>
  <si>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</si>
  <si>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</si>
  <si>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</si>
  <si>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</si>
  <si>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</si>
  <si>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</si>
  <si>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</si>
  <si>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</si>
  <si>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</si>
  <si>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</si>
  <si>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</si>
  <si>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</si>
  <si>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</si>
  <si>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</si>
  <si>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</si>
  <si>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</si>
  <si>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</si>
  <si>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</si>
  <si>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</si>
  <si>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</si>
  <si>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</si>
  <si>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свежей капусты</t>
  </si>
  <si>
    <t>Суп с рыбными консервами</t>
  </si>
  <si>
    <t>Тефтели 2-й вариант</t>
  </si>
  <si>
    <t xml:space="preserve">Каша пшеничная жидкая </t>
  </si>
  <si>
    <t>Чай с сахаром</t>
  </si>
  <si>
    <t>Хлеб пшеничный формовой</t>
  </si>
  <si>
    <t>Соус томатный</t>
  </si>
  <si>
    <t>13/2008г</t>
  </si>
  <si>
    <t>122/2021г</t>
  </si>
  <si>
    <t>462/2004г</t>
  </si>
  <si>
    <t>311/2004г</t>
  </si>
  <si>
    <t>457/2021г</t>
  </si>
  <si>
    <t>573/2021г</t>
  </si>
  <si>
    <t>574/2021г</t>
  </si>
  <si>
    <t>141/2008г</t>
  </si>
  <si>
    <t>Хлеб дарницкий</t>
  </si>
  <si>
    <t>Салат из свеклы отварной</t>
  </si>
  <si>
    <t xml:space="preserve">Щи из свежей капусты с картофелем </t>
  </si>
  <si>
    <t>Котлеты "Школьные"</t>
  </si>
  <si>
    <t>Картофельное пюре</t>
  </si>
  <si>
    <t>Компот из смеси сухофруктов</t>
  </si>
  <si>
    <t>26/2021г</t>
  </si>
  <si>
    <t>41/2008г</t>
  </si>
  <si>
    <t>347/2021г</t>
  </si>
  <si>
    <t>92/2008г</t>
  </si>
  <si>
    <t>495/2021г</t>
  </si>
  <si>
    <t>Салат из свежих помидоров и огурцов</t>
  </si>
  <si>
    <t>Борщ с картофелем</t>
  </si>
  <si>
    <t>Биточки особые</t>
  </si>
  <si>
    <t>Компот из свежих плодов и ягод</t>
  </si>
  <si>
    <t>Макаронные изделия отварные</t>
  </si>
  <si>
    <t>18/2021г</t>
  </si>
  <si>
    <t>94/2021г</t>
  </si>
  <si>
    <t>452/2004г</t>
  </si>
  <si>
    <t>97/2008г</t>
  </si>
  <si>
    <t>486/2021г</t>
  </si>
  <si>
    <t>Салат "Свежесть"</t>
  </si>
  <si>
    <t>Рассольник ленинградский</t>
  </si>
  <si>
    <t>Рис припущеный</t>
  </si>
  <si>
    <t>Напиток из плодов шиповника</t>
  </si>
  <si>
    <t xml:space="preserve">Птица в соусе с томатом </t>
  </si>
  <si>
    <t>ТТК-2</t>
  </si>
  <si>
    <t>100/2021г</t>
  </si>
  <si>
    <t>367/2021г</t>
  </si>
  <si>
    <t>94/2008г</t>
  </si>
  <si>
    <t>496/2021г</t>
  </si>
  <si>
    <t>Салат из капусты белокочанной и огурцов</t>
  </si>
  <si>
    <t xml:space="preserve">Суп картофельный с мак. изделиями </t>
  </si>
  <si>
    <t>Жаркое по-домашнему</t>
  </si>
  <si>
    <t>5/2021г</t>
  </si>
  <si>
    <t>46/2008г</t>
  </si>
  <si>
    <t>176/2013г</t>
  </si>
  <si>
    <t>Помидоры свежие порционно</t>
  </si>
  <si>
    <t>Суп картофельный с бобовыми</t>
  </si>
  <si>
    <t>Котлета "Здоровье"</t>
  </si>
  <si>
    <t>ТК-1</t>
  </si>
  <si>
    <t>47/2008г</t>
  </si>
  <si>
    <t>77/2008г</t>
  </si>
  <si>
    <t>Салат витаминный</t>
  </si>
  <si>
    <t>Суп крестьянский с крупой</t>
  </si>
  <si>
    <t>Фрикадельки "Петушок"</t>
  </si>
  <si>
    <t xml:space="preserve">Картофель тушеный </t>
  </si>
  <si>
    <t>2/2021г</t>
  </si>
  <si>
    <t>48/2008г</t>
  </si>
  <si>
    <t>81/2008г</t>
  </si>
  <si>
    <t>216/2004г</t>
  </si>
  <si>
    <t>Салат из свежих огурцов с луком</t>
  </si>
  <si>
    <t>Гуляш</t>
  </si>
  <si>
    <t>Каша гречневая рассыпчатая</t>
  </si>
  <si>
    <t>Чай с лимоном</t>
  </si>
  <si>
    <t>15/2021г</t>
  </si>
  <si>
    <t>63/2008г</t>
  </si>
  <si>
    <t>202/2021г</t>
  </si>
  <si>
    <t>459/2021г</t>
  </si>
  <si>
    <t>Винегрет овощной</t>
  </si>
  <si>
    <t>Суп картофельный с клецками</t>
  </si>
  <si>
    <t>Котлета рыбная "Нептун"</t>
  </si>
  <si>
    <t>Напиток лимонный</t>
  </si>
  <si>
    <t>30/2008г</t>
  </si>
  <si>
    <t>115/2021г</t>
  </si>
  <si>
    <t>88/2008г</t>
  </si>
  <si>
    <t>156/2008г</t>
  </si>
  <si>
    <t xml:space="preserve"> </t>
  </si>
  <si>
    <t xml:space="preserve">Борщ с капустой и картофелем </t>
  </si>
  <si>
    <t xml:space="preserve">Плов </t>
  </si>
  <si>
    <t>39/2008г</t>
  </si>
  <si>
    <t>443/2004г</t>
  </si>
  <si>
    <t>Генеральный директор
ООО "Школьное питание"</t>
  </si>
  <si>
    <t>Колеватов Е.С.</t>
  </si>
  <si>
    <t>МБОУ "Можгинская СОШ"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</si>
</sst>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11" fillId="4" borderId="25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 vertical="top" wrapText="1"/>
    </xf>
    <xf numFmtId="0" fontId="12" fillId="4" borderId="2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0" fontId="11" fillId="4" borderId="27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wrapText="1"/>
    </xf>
    <xf numFmtId="0" fontId="2" fillId="4" borderId="5" xfId="0" applyFont="1" applyFill="1" applyBorder="1" applyAlignment="1">
      <alignment horizontal="left" vertical="center" wrapText="1"/>
    </xf>
    <xf numFmtId="164" fontId="2" fillId="4" borderId="2" xfId="0" applyNumberFormat="1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40.5546875" style="2" customWidth="1"/>
    <col min="6" max="6" width="9.33203125" style="2" customWidth="1"/>
    <col min="7" max="7" width="12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29.25" customHeight="1">
      <c r="A1" s="76" t="s">
        <v>7</v>
      </c>
      <c r="C1" s="81" t="s">
        <v>128</v>
      </c>
      <c r="D1" s="82"/>
      <c r="E1" s="82"/>
      <c r="F1" s="74" t="s">
        <v>16</v>
      </c>
      <c r="G1" s="75" t="s">
        <v>17</v>
      </c>
      <c r="H1" s="83" t="s">
        <v>126</v>
      </c>
      <c r="I1" s="83"/>
      <c r="J1" s="83"/>
      <c r="K1" s="83"/>
    </row>
    <row r="2" spans="1:12" ht="17.399999999999999">
      <c r="A2" s="31" t="s">
        <v>6</v>
      </c>
      <c r="C2" s="2"/>
      <c r="G2" s="2" t="s">
        <v>18</v>
      </c>
      <c r="H2" s="83" t="s">
        <v>127</v>
      </c>
      <c r="I2" s="83"/>
      <c r="J2" s="83"/>
      <c r="K2" s="83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4">
        <v>1</v>
      </c>
      <c r="I3" s="44">
        <v>9</v>
      </c>
      <c r="J3" s="45">
        <v>2023</v>
      </c>
      <c r="K3" s="46"/>
    </row>
    <row r="4" spans="1:12">
      <c r="C4" s="2"/>
      <c r="D4" s="4"/>
      <c r="H4" s="43" t="s">
        <v>36</v>
      </c>
      <c r="I4" s="43" t="s">
        <v>37</v>
      </c>
      <c r="J4" s="43" t="s">
        <v>38</v>
      </c>
    </row>
    <row r="5" spans="1:12" ht="30.6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34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35</v>
      </c>
    </row>
    <row r="6" spans="1:12" ht="14.4">
      <c r="A6" s="17">
        <v>1</v>
      </c>
      <c r="B6" s="18">
        <v>1</v>
      </c>
      <c r="C6" s="19" t="s">
        <v>20</v>
      </c>
      <c r="D6" s="5" t="s">
        <v>21</v>
      </c>
      <c r="E6" s="35"/>
      <c r="F6" s="36"/>
      <c r="G6" s="36"/>
      <c r="H6" s="36"/>
      <c r="I6" s="36"/>
      <c r="J6" s="36"/>
      <c r="K6" s="37"/>
      <c r="L6" s="56"/>
    </row>
    <row r="7" spans="1:12" ht="14.4">
      <c r="A7" s="20"/>
      <c r="B7" s="13"/>
      <c r="C7" s="11"/>
      <c r="D7" s="6"/>
      <c r="E7" s="38"/>
      <c r="F7" s="39"/>
      <c r="G7" s="39"/>
      <c r="H7" s="39"/>
      <c r="I7" s="39"/>
      <c r="J7" s="39"/>
      <c r="K7" s="40"/>
      <c r="L7" s="57"/>
    </row>
    <row r="8" spans="1:12" ht="14.4">
      <c r="A8" s="20"/>
      <c r="B8" s="13"/>
      <c r="C8" s="11"/>
      <c r="D8" s="7" t="s">
        <v>22</v>
      </c>
      <c r="E8" s="38"/>
      <c r="F8" s="39"/>
      <c r="G8" s="39"/>
      <c r="H8" s="39"/>
      <c r="I8" s="39"/>
      <c r="J8" s="39"/>
      <c r="K8" s="40"/>
      <c r="L8" s="57"/>
    </row>
    <row r="9" spans="1:12" ht="14.4">
      <c r="A9" s="20"/>
      <c r="B9" s="13"/>
      <c r="C9" s="11"/>
      <c r="D9" s="7" t="s">
        <v>23</v>
      </c>
      <c r="E9" s="38"/>
      <c r="F9" s="39"/>
      <c r="G9" s="39"/>
      <c r="H9" s="39"/>
      <c r="I9" s="39"/>
      <c r="J9" s="39"/>
      <c r="K9" s="40"/>
      <c r="L9" s="57"/>
    </row>
    <row r="10" spans="1:12" ht="14.4">
      <c r="A10" s="20"/>
      <c r="B10" s="13"/>
      <c r="C10" s="11"/>
      <c r="D10" s="7" t="s">
        <v>24</v>
      </c>
      <c r="E10" s="38"/>
      <c r="F10" s="39"/>
      <c r="G10" s="39"/>
      <c r="H10" s="39"/>
      <c r="I10" s="39"/>
      <c r="J10" s="39"/>
      <c r="K10" s="40"/>
      <c r="L10" s="57"/>
    </row>
    <row r="11" spans="1:12" ht="14.4">
      <c r="A11" s="20"/>
      <c r="B11" s="13"/>
      <c r="C11" s="11"/>
      <c r="D11" s="6"/>
      <c r="E11" s="38"/>
      <c r="F11" s="39"/>
      <c r="G11" s="39"/>
      <c r="H11" s="39"/>
      <c r="I11" s="39"/>
      <c r="J11" s="39"/>
      <c r="K11" s="40"/>
      <c r="L11" s="57"/>
    </row>
    <row r="12" spans="1:12" ht="14.4">
      <c r="A12" s="20"/>
      <c r="B12" s="13"/>
      <c r="C12" s="11"/>
      <c r="D12" s="6"/>
      <c r="E12" s="38"/>
      <c r="F12" s="39"/>
      <c r="G12" s="39"/>
      <c r="H12" s="39"/>
      <c r="I12" s="39"/>
      <c r="J12" s="39"/>
      <c r="K12" s="40"/>
      <c r="L12" s="57"/>
    </row>
    <row r="13" spans="1:12" ht="14.4">
      <c r="A13" s="21"/>
      <c r="B13" s="14"/>
      <c r="C13" s="8"/>
      <c r="D13" s="15" t="s">
        <v>33</v>
      </c>
      <c r="E13" s="9"/>
      <c r="F13" s="16">
        <f>SUM(F6:F12)</f>
        <v>0</v>
      </c>
      <c r="G13" s="16">
        <f t="shared" ref="G13:J13" si="0">SUM(G6:G12)</f>
        <v>0</v>
      </c>
      <c r="H13" s="16">
        <f t="shared" si="0"/>
        <v>0</v>
      </c>
      <c r="I13" s="16">
        <f t="shared" si="0"/>
        <v>0</v>
      </c>
      <c r="J13" s="16">
        <f t="shared" si="0"/>
        <v>0</v>
      </c>
      <c r="K13" s="22"/>
      <c r="L13" s="58">
        <f t="shared" ref="L13" si="1">SUM(L6:L12)</f>
        <v>0</v>
      </c>
    </row>
    <row r="14" spans="1:12" ht="14.4">
      <c r="A14" s="23">
        <f>A6</f>
        <v>1</v>
      </c>
      <c r="B14" s="12">
        <f>B6</f>
        <v>1</v>
      </c>
      <c r="C14" s="10" t="s">
        <v>25</v>
      </c>
      <c r="D14" s="7" t="s">
        <v>26</v>
      </c>
      <c r="E14" s="47" t="s">
        <v>39</v>
      </c>
      <c r="F14" s="48">
        <v>60</v>
      </c>
      <c r="G14" s="49">
        <f>F14*1.45/100</f>
        <v>0.87</v>
      </c>
      <c r="H14" s="49">
        <f>F14*6/100</f>
        <v>3.6</v>
      </c>
      <c r="I14" s="49">
        <f>F14*8.4/100</f>
        <v>5.04</v>
      </c>
      <c r="J14" s="50">
        <f t="shared" ref="J14:J21" si="2">G14*4+H14*9+I14*4</f>
        <v>56.039999999999992</v>
      </c>
      <c r="K14" s="60" t="s">
        <v>46</v>
      </c>
      <c r="L14" s="57">
        <v>5.36</v>
      </c>
    </row>
    <row r="15" spans="1:12" ht="14.4">
      <c r="A15" s="20"/>
      <c r="B15" s="13"/>
      <c r="C15" s="11"/>
      <c r="D15" s="7" t="s">
        <v>27</v>
      </c>
      <c r="E15" s="51" t="s">
        <v>40</v>
      </c>
      <c r="F15" s="52">
        <v>200</v>
      </c>
      <c r="G15" s="50">
        <f>F15*3.72/100</f>
        <v>7.44</v>
      </c>
      <c r="H15" s="50">
        <f>F15*4.56/100</f>
        <v>9.1199999999999992</v>
      </c>
      <c r="I15" s="50">
        <f>F15*4.02/100</f>
        <v>8.0399999999999991</v>
      </c>
      <c r="J15" s="50">
        <f t="shared" si="2"/>
        <v>144</v>
      </c>
      <c r="K15" s="60" t="s">
        <v>47</v>
      </c>
      <c r="L15" s="57">
        <v>20.58</v>
      </c>
    </row>
    <row r="16" spans="1:12" ht="14.4">
      <c r="A16" s="20"/>
      <c r="B16" s="13"/>
      <c r="C16" s="11"/>
      <c r="D16" s="7" t="s">
        <v>28</v>
      </c>
      <c r="E16" s="51" t="s">
        <v>41</v>
      </c>
      <c r="F16" s="48">
        <v>90</v>
      </c>
      <c r="G16" s="49">
        <f>F16*6.33/100</f>
        <v>5.6970000000000001</v>
      </c>
      <c r="H16" s="49">
        <f>F16*14.65/100</f>
        <v>13.185</v>
      </c>
      <c r="I16" s="49">
        <f>F16*10.55/100</f>
        <v>9.495000000000001</v>
      </c>
      <c r="J16" s="49">
        <f t="shared" si="2"/>
        <v>179.43299999999999</v>
      </c>
      <c r="K16" s="60" t="s">
        <v>48</v>
      </c>
      <c r="L16" s="57">
        <v>41.58</v>
      </c>
    </row>
    <row r="17" spans="1:12" ht="14.4">
      <c r="A17" s="20"/>
      <c r="B17" s="13"/>
      <c r="C17" s="11"/>
      <c r="D17" s="7" t="s">
        <v>29</v>
      </c>
      <c r="E17" s="53" t="s">
        <v>42</v>
      </c>
      <c r="F17" s="48">
        <v>150</v>
      </c>
      <c r="G17" s="49">
        <f>F17*2.18/100</f>
        <v>3.27</v>
      </c>
      <c r="H17" s="49">
        <f>F17*1.82/100</f>
        <v>2.73</v>
      </c>
      <c r="I17" s="49">
        <f>F17*12.39/100</f>
        <v>18.585000000000001</v>
      </c>
      <c r="J17" s="49">
        <f t="shared" si="2"/>
        <v>111.99000000000001</v>
      </c>
      <c r="K17" s="60" t="s">
        <v>49</v>
      </c>
      <c r="L17" s="57">
        <v>7.27</v>
      </c>
    </row>
    <row r="18" spans="1:12" ht="14.4">
      <c r="A18" s="20"/>
      <c r="B18" s="13"/>
      <c r="C18" s="11"/>
      <c r="D18" s="7" t="s">
        <v>30</v>
      </c>
      <c r="E18" s="51" t="s">
        <v>43</v>
      </c>
      <c r="F18" s="48">
        <v>200</v>
      </c>
      <c r="G18" s="49">
        <f>F18*0.2/200</f>
        <v>0.2</v>
      </c>
      <c r="H18" s="49">
        <f>F18*0.1/200</f>
        <v>0.1</v>
      </c>
      <c r="I18" s="49">
        <f>F18*9.3/200</f>
        <v>9.3000000000000007</v>
      </c>
      <c r="J18" s="49">
        <f t="shared" si="2"/>
        <v>38.900000000000006</v>
      </c>
      <c r="K18" s="60" t="s">
        <v>50</v>
      </c>
      <c r="L18" s="57">
        <v>1.68</v>
      </c>
    </row>
    <row r="19" spans="1:12" ht="14.4">
      <c r="A19" s="20"/>
      <c r="B19" s="13"/>
      <c r="C19" s="11"/>
      <c r="D19" s="7" t="s">
        <v>31</v>
      </c>
      <c r="E19" s="47" t="s">
        <v>44</v>
      </c>
      <c r="F19" s="52">
        <v>40</v>
      </c>
      <c r="G19" s="49">
        <f>F19*7.6/100</f>
        <v>3.04</v>
      </c>
      <c r="H19" s="49">
        <f>F19*0.8/100</f>
        <v>0.32</v>
      </c>
      <c r="I19" s="49">
        <f>F19*49.2/100</f>
        <v>19.68</v>
      </c>
      <c r="J19" s="49">
        <f t="shared" si="2"/>
        <v>93.759999999999991</v>
      </c>
      <c r="K19" s="61" t="s">
        <v>51</v>
      </c>
      <c r="L19" s="57">
        <v>3.68</v>
      </c>
    </row>
    <row r="20" spans="1:12" ht="14.4">
      <c r="A20" s="20"/>
      <c r="B20" s="13"/>
      <c r="C20" s="11"/>
      <c r="D20" s="7" t="s">
        <v>32</v>
      </c>
      <c r="E20" s="47" t="s">
        <v>54</v>
      </c>
      <c r="F20" s="52">
        <v>20</v>
      </c>
      <c r="G20" s="49">
        <f>F20*8/100</f>
        <v>1.6</v>
      </c>
      <c r="H20" s="49">
        <f>F20*1.5/100</f>
        <v>0.3</v>
      </c>
      <c r="I20" s="49">
        <f>F20*40.1/100</f>
        <v>8.02</v>
      </c>
      <c r="J20" s="49">
        <f t="shared" si="2"/>
        <v>41.18</v>
      </c>
      <c r="K20" s="61" t="s">
        <v>52</v>
      </c>
      <c r="L20" s="57">
        <v>1.6</v>
      </c>
    </row>
    <row r="21" spans="1:12" ht="14.4">
      <c r="A21" s="20"/>
      <c r="B21" s="13"/>
      <c r="C21" s="11"/>
      <c r="D21" s="6"/>
      <c r="E21" s="51" t="s">
        <v>45</v>
      </c>
      <c r="F21" s="48">
        <v>40</v>
      </c>
      <c r="G21" s="49">
        <f>F21*1.3/50</f>
        <v>1.04</v>
      </c>
      <c r="H21" s="49">
        <f>F21*4.8/50</f>
        <v>3.84</v>
      </c>
      <c r="I21" s="49">
        <f>F21*4.7/50</f>
        <v>3.76</v>
      </c>
      <c r="J21" s="49">
        <f t="shared" si="2"/>
        <v>53.76</v>
      </c>
      <c r="K21" s="60" t="s">
        <v>53</v>
      </c>
      <c r="L21" s="57">
        <v>2</v>
      </c>
    </row>
    <row r="22" spans="1:12" ht="14.4">
      <c r="A22" s="20"/>
      <c r="B22" s="13"/>
      <c r="C22" s="11"/>
      <c r="D22" s="6"/>
      <c r="E22" s="38"/>
      <c r="F22" s="39"/>
      <c r="G22" s="39"/>
      <c r="H22" s="39"/>
      <c r="I22" s="39"/>
      <c r="J22" s="39"/>
      <c r="K22" s="40"/>
      <c r="L22" s="57"/>
    </row>
    <row r="23" spans="1:12" ht="14.4">
      <c r="A23" s="21"/>
      <c r="B23" s="14"/>
      <c r="C23" s="8"/>
      <c r="D23" s="15" t="s">
        <v>33</v>
      </c>
      <c r="E23" s="9"/>
      <c r="F23" s="16">
        <f>SUM(F14:F22)</f>
        <v>800</v>
      </c>
      <c r="G23" s="54">
        <f t="shared" ref="G23:J23" si="3">SUM(G14:G22)</f>
        <v>23.157</v>
      </c>
      <c r="H23" s="54">
        <f t="shared" si="3"/>
        <v>33.195000000000007</v>
      </c>
      <c r="I23" s="54">
        <f t="shared" si="3"/>
        <v>81.919999999999987</v>
      </c>
      <c r="J23" s="54">
        <f t="shared" si="3"/>
        <v>719.06299999999987</v>
      </c>
      <c r="K23" s="22"/>
      <c r="L23" s="58">
        <f t="shared" ref="L23" si="4">SUM(L14:L22)</f>
        <v>83.75</v>
      </c>
    </row>
    <row r="24" spans="1:12" ht="15" thickBot="1">
      <c r="A24" s="26">
        <f>A6</f>
        <v>1</v>
      </c>
      <c r="B24" s="27">
        <f>B6</f>
        <v>1</v>
      </c>
      <c r="C24" s="78" t="s">
        <v>4</v>
      </c>
      <c r="D24" s="79"/>
      <c r="E24" s="28"/>
      <c r="F24" s="29">
        <f>F13+F23</f>
        <v>800</v>
      </c>
      <c r="G24" s="55">
        <f t="shared" ref="G24:J24" si="5">G13+G23</f>
        <v>23.157</v>
      </c>
      <c r="H24" s="55">
        <f t="shared" si="5"/>
        <v>33.195000000000007</v>
      </c>
      <c r="I24" s="55">
        <f t="shared" si="5"/>
        <v>81.919999999999987</v>
      </c>
      <c r="J24" s="55">
        <f t="shared" si="5"/>
        <v>719.06299999999987</v>
      </c>
      <c r="K24" s="62"/>
      <c r="L24" s="59">
        <f t="shared" ref="L24" si="6">L13+L23</f>
        <v>83.75</v>
      </c>
    </row>
    <row r="25" spans="1:12" ht="14.4">
      <c r="A25" s="17">
        <v>1</v>
      </c>
      <c r="B25" s="18">
        <v>2</v>
      </c>
      <c r="C25" s="19" t="s">
        <v>20</v>
      </c>
      <c r="D25" s="5" t="s">
        <v>21</v>
      </c>
      <c r="E25" s="35"/>
      <c r="F25" s="36"/>
      <c r="G25" s="36"/>
      <c r="H25" s="36"/>
      <c r="I25" s="36"/>
      <c r="J25" s="36"/>
      <c r="K25" s="37"/>
      <c r="L25" s="56"/>
    </row>
    <row r="26" spans="1:12" ht="14.4">
      <c r="A26" s="20"/>
      <c r="B26" s="13"/>
      <c r="C26" s="11"/>
      <c r="D26" s="6"/>
      <c r="E26" s="38"/>
      <c r="F26" s="39"/>
      <c r="G26" s="39"/>
      <c r="H26" s="39"/>
      <c r="I26" s="39"/>
      <c r="J26" s="39"/>
      <c r="K26" s="40"/>
      <c r="L26" s="57"/>
    </row>
    <row r="27" spans="1:12" ht="14.4">
      <c r="A27" s="20"/>
      <c r="B27" s="13"/>
      <c r="C27" s="11"/>
      <c r="D27" s="7" t="s">
        <v>22</v>
      </c>
      <c r="E27" s="38"/>
      <c r="F27" s="39"/>
      <c r="G27" s="39"/>
      <c r="H27" s="39"/>
      <c r="I27" s="39"/>
      <c r="J27" s="39"/>
      <c r="K27" s="40"/>
      <c r="L27" s="57"/>
    </row>
    <row r="28" spans="1:12" ht="14.4">
      <c r="A28" s="20"/>
      <c r="B28" s="13"/>
      <c r="C28" s="11"/>
      <c r="D28" s="7" t="s">
        <v>23</v>
      </c>
      <c r="E28" s="38"/>
      <c r="F28" s="39"/>
      <c r="G28" s="39"/>
      <c r="H28" s="39"/>
      <c r="I28" s="39"/>
      <c r="J28" s="39"/>
      <c r="K28" s="40"/>
      <c r="L28" s="57"/>
    </row>
    <row r="29" spans="1:12" ht="14.4">
      <c r="A29" s="20"/>
      <c r="B29" s="13"/>
      <c r="C29" s="11"/>
      <c r="D29" s="7" t="s">
        <v>24</v>
      </c>
      <c r="E29" s="38"/>
      <c r="F29" s="39"/>
      <c r="G29" s="39"/>
      <c r="H29" s="39"/>
      <c r="I29" s="39"/>
      <c r="J29" s="39"/>
      <c r="K29" s="40"/>
      <c r="L29" s="57"/>
    </row>
    <row r="30" spans="1:12" ht="14.4">
      <c r="A30" s="20"/>
      <c r="B30" s="13"/>
      <c r="C30" s="11"/>
      <c r="D30" s="6"/>
      <c r="E30" s="38"/>
      <c r="F30" s="39"/>
      <c r="G30" s="39"/>
      <c r="H30" s="39"/>
      <c r="I30" s="39"/>
      <c r="J30" s="39"/>
      <c r="K30" s="40"/>
      <c r="L30" s="57"/>
    </row>
    <row r="31" spans="1:12" ht="14.4">
      <c r="A31" s="20"/>
      <c r="B31" s="13"/>
      <c r="C31" s="11"/>
      <c r="D31" s="6"/>
      <c r="E31" s="38"/>
      <c r="F31" s="39"/>
      <c r="G31" s="39"/>
      <c r="H31" s="39"/>
      <c r="I31" s="39"/>
      <c r="J31" s="39"/>
      <c r="K31" s="40"/>
      <c r="L31" s="57"/>
    </row>
    <row r="32" spans="1:12" ht="14.4">
      <c r="A32" s="21"/>
      <c r="B32" s="14"/>
      <c r="C32" s="8"/>
      <c r="D32" s="15" t="s">
        <v>33</v>
      </c>
      <c r="E32" s="9"/>
      <c r="F32" s="16">
        <f>SUM(F25:F31)</f>
        <v>0</v>
      </c>
      <c r="G32" s="16">
        <f t="shared" ref="G32" si="7">SUM(G25:G31)</f>
        <v>0</v>
      </c>
      <c r="H32" s="16">
        <f t="shared" ref="H32" si="8">SUM(H25:H31)</f>
        <v>0</v>
      </c>
      <c r="I32" s="16">
        <f t="shared" ref="I32" si="9">SUM(I25:I31)</f>
        <v>0</v>
      </c>
      <c r="J32" s="16">
        <f t="shared" ref="J32:L32" si="10">SUM(J25:J31)</f>
        <v>0</v>
      </c>
      <c r="K32" s="22"/>
      <c r="L32" s="58">
        <f t="shared" si="10"/>
        <v>0</v>
      </c>
    </row>
    <row r="33" spans="1:12" ht="14.4">
      <c r="A33" s="23">
        <f>A25</f>
        <v>1</v>
      </c>
      <c r="B33" s="12">
        <f>B25</f>
        <v>2</v>
      </c>
      <c r="C33" s="10" t="s">
        <v>25</v>
      </c>
      <c r="D33" s="7" t="s">
        <v>26</v>
      </c>
      <c r="E33" s="51" t="s">
        <v>55</v>
      </c>
      <c r="F33" s="48">
        <v>60</v>
      </c>
      <c r="G33" s="49">
        <f>F33*1.4/100</f>
        <v>0.84</v>
      </c>
      <c r="H33" s="49">
        <f>F33*6.1/100</f>
        <v>3.66</v>
      </c>
      <c r="I33" s="49">
        <f>F33*7.63/100</f>
        <v>4.5780000000000003</v>
      </c>
      <c r="J33" s="50">
        <f t="shared" ref="J33:J40" si="11">G33*4+H33*9+I33*4</f>
        <v>54.611999999999995</v>
      </c>
      <c r="K33" s="63" t="s">
        <v>60</v>
      </c>
      <c r="L33" s="57">
        <v>2.83</v>
      </c>
    </row>
    <row r="34" spans="1:12" ht="14.4">
      <c r="A34" s="20"/>
      <c r="B34" s="13"/>
      <c r="C34" s="11"/>
      <c r="D34" s="7" t="s">
        <v>27</v>
      </c>
      <c r="E34" s="53" t="s">
        <v>56</v>
      </c>
      <c r="F34" s="48">
        <v>200</v>
      </c>
      <c r="G34" s="49">
        <f>F34*0.8/100</f>
        <v>1.6</v>
      </c>
      <c r="H34" s="49">
        <f>F34*1.72/100</f>
        <v>3.44</v>
      </c>
      <c r="I34" s="49">
        <f>F34*4/100</f>
        <v>8</v>
      </c>
      <c r="J34" s="49">
        <f t="shared" si="11"/>
        <v>69.36</v>
      </c>
      <c r="K34" s="60" t="s">
        <v>61</v>
      </c>
      <c r="L34" s="57">
        <v>5.27</v>
      </c>
    </row>
    <row r="35" spans="1:12" ht="14.4">
      <c r="A35" s="20"/>
      <c r="B35" s="13"/>
      <c r="C35" s="11"/>
      <c r="D35" s="7" t="s">
        <v>28</v>
      </c>
      <c r="E35" s="53" t="s">
        <v>57</v>
      </c>
      <c r="F35" s="48">
        <v>90</v>
      </c>
      <c r="G35" s="49">
        <f>F35*15.3/100</f>
        <v>13.77</v>
      </c>
      <c r="H35" s="49">
        <f>F35*11/100</f>
        <v>9.9</v>
      </c>
      <c r="I35" s="49">
        <f>F35*13.3/100</f>
        <v>11.97</v>
      </c>
      <c r="J35" s="50">
        <f t="shared" si="11"/>
        <v>192.06</v>
      </c>
      <c r="K35" s="60" t="s">
        <v>62</v>
      </c>
      <c r="L35" s="57">
        <v>49.17</v>
      </c>
    </row>
    <row r="36" spans="1:12" ht="14.4">
      <c r="A36" s="20"/>
      <c r="B36" s="13"/>
      <c r="C36" s="11"/>
      <c r="D36" s="7" t="s">
        <v>29</v>
      </c>
      <c r="E36" s="51" t="s">
        <v>58</v>
      </c>
      <c r="F36" s="48">
        <v>150</v>
      </c>
      <c r="G36" s="49">
        <f>F36*2.1/100</f>
        <v>3.15</v>
      </c>
      <c r="H36" s="49">
        <f>F36*3.5/100</f>
        <v>5.25</v>
      </c>
      <c r="I36" s="49">
        <f>F36*14.6/100</f>
        <v>21.9</v>
      </c>
      <c r="J36" s="49">
        <f t="shared" si="11"/>
        <v>147.44999999999999</v>
      </c>
      <c r="K36" s="60" t="s">
        <v>63</v>
      </c>
      <c r="L36" s="57">
        <v>15.36</v>
      </c>
    </row>
    <row r="37" spans="1:12" ht="14.4">
      <c r="A37" s="20"/>
      <c r="B37" s="13"/>
      <c r="C37" s="11"/>
      <c r="D37" s="7" t="s">
        <v>30</v>
      </c>
      <c r="E37" s="51" t="s">
        <v>59</v>
      </c>
      <c r="F37" s="48">
        <v>200</v>
      </c>
      <c r="G37" s="49">
        <f>F37*0.6/200</f>
        <v>0.6</v>
      </c>
      <c r="H37" s="49">
        <f>F37*0.1/200</f>
        <v>0.1</v>
      </c>
      <c r="I37" s="49">
        <f>F37*20.1/200</f>
        <v>20.100000000000001</v>
      </c>
      <c r="J37" s="49">
        <f t="shared" si="11"/>
        <v>83.7</v>
      </c>
      <c r="K37" s="60" t="s">
        <v>64</v>
      </c>
      <c r="L37" s="57">
        <v>3.84</v>
      </c>
    </row>
    <row r="38" spans="1:12" ht="14.4">
      <c r="A38" s="20"/>
      <c r="B38" s="13"/>
      <c r="C38" s="11"/>
      <c r="D38" s="7" t="s">
        <v>31</v>
      </c>
      <c r="E38" s="47" t="s">
        <v>44</v>
      </c>
      <c r="F38" s="52">
        <v>40</v>
      </c>
      <c r="G38" s="49">
        <f>F38*7.6/100</f>
        <v>3.04</v>
      </c>
      <c r="H38" s="49">
        <f>F38*0.8/100</f>
        <v>0.32</v>
      </c>
      <c r="I38" s="49">
        <f>F38*49.2/100</f>
        <v>19.68</v>
      </c>
      <c r="J38" s="49">
        <f t="shared" si="11"/>
        <v>93.759999999999991</v>
      </c>
      <c r="K38" s="61" t="s">
        <v>51</v>
      </c>
      <c r="L38" s="57">
        <v>3.68</v>
      </c>
    </row>
    <row r="39" spans="1:12" ht="14.4">
      <c r="A39" s="20"/>
      <c r="B39" s="13"/>
      <c r="C39" s="11"/>
      <c r="D39" s="7" t="s">
        <v>32</v>
      </c>
      <c r="E39" s="47" t="s">
        <v>54</v>
      </c>
      <c r="F39" s="52">
        <v>20</v>
      </c>
      <c r="G39" s="49">
        <f>F39*8/100</f>
        <v>1.6</v>
      </c>
      <c r="H39" s="49">
        <f>F39*1.5/100</f>
        <v>0.3</v>
      </c>
      <c r="I39" s="49">
        <f>F39*40.1/100</f>
        <v>8.02</v>
      </c>
      <c r="J39" s="49">
        <f t="shared" si="11"/>
        <v>41.18</v>
      </c>
      <c r="K39" s="61" t="s">
        <v>52</v>
      </c>
      <c r="L39" s="57">
        <v>1.6</v>
      </c>
    </row>
    <row r="40" spans="1:12" ht="14.4">
      <c r="A40" s="20"/>
      <c r="B40" s="13"/>
      <c r="C40" s="11"/>
      <c r="D40" s="6"/>
      <c r="E40" s="51" t="s">
        <v>45</v>
      </c>
      <c r="F40" s="48">
        <v>40</v>
      </c>
      <c r="G40" s="49">
        <f>F40*1.3/50</f>
        <v>1.04</v>
      </c>
      <c r="H40" s="49">
        <f>F40*4.8/50</f>
        <v>3.84</v>
      </c>
      <c r="I40" s="49">
        <f>F40*4.7/50</f>
        <v>3.76</v>
      </c>
      <c r="J40" s="49">
        <f t="shared" si="11"/>
        <v>53.76</v>
      </c>
      <c r="K40" s="60" t="s">
        <v>53</v>
      </c>
      <c r="L40" s="57">
        <v>2</v>
      </c>
    </row>
    <row r="41" spans="1:12" ht="14.4">
      <c r="A41" s="20"/>
      <c r="B41" s="13"/>
      <c r="C41" s="11"/>
      <c r="D41" s="6"/>
      <c r="E41" s="38"/>
      <c r="F41" s="39"/>
      <c r="G41" s="39"/>
      <c r="H41" s="39"/>
      <c r="I41" s="39"/>
      <c r="J41" s="39"/>
      <c r="K41" s="40"/>
      <c r="L41" s="57"/>
    </row>
    <row r="42" spans="1:12" ht="14.4">
      <c r="A42" s="21"/>
      <c r="B42" s="14"/>
      <c r="C42" s="8"/>
      <c r="D42" s="15" t="s">
        <v>33</v>
      </c>
      <c r="E42" s="9"/>
      <c r="F42" s="16">
        <f>SUM(F33:F41)</f>
        <v>800</v>
      </c>
      <c r="G42" s="16">
        <f t="shared" ref="G42" si="12">SUM(G33:G41)</f>
        <v>25.64</v>
      </c>
      <c r="H42" s="16">
        <f t="shared" ref="H42" si="13">SUM(H33:H41)</f>
        <v>26.810000000000002</v>
      </c>
      <c r="I42" s="54">
        <f t="shared" ref="I42" si="14">SUM(I33:I41)</f>
        <v>98.00800000000001</v>
      </c>
      <c r="J42" s="54">
        <f t="shared" ref="J42:L42" si="15">SUM(J33:J41)</f>
        <v>735.88199999999995</v>
      </c>
      <c r="K42" s="22"/>
      <c r="L42" s="58">
        <f t="shared" si="15"/>
        <v>83.75</v>
      </c>
    </row>
    <row r="43" spans="1:12" ht="15.75" customHeight="1" thickBot="1">
      <c r="A43" s="26">
        <f>A25</f>
        <v>1</v>
      </c>
      <c r="B43" s="27">
        <f>B25</f>
        <v>2</v>
      </c>
      <c r="C43" s="78" t="s">
        <v>4</v>
      </c>
      <c r="D43" s="79"/>
      <c r="E43" s="28"/>
      <c r="F43" s="29">
        <f>F32+F42</f>
        <v>800</v>
      </c>
      <c r="G43" s="29">
        <f t="shared" ref="G43" si="16">G32+G42</f>
        <v>25.64</v>
      </c>
      <c r="H43" s="29">
        <f t="shared" ref="H43" si="17">H32+H42</f>
        <v>26.810000000000002</v>
      </c>
      <c r="I43" s="55">
        <f t="shared" ref="I43" si="18">I32+I42</f>
        <v>98.00800000000001</v>
      </c>
      <c r="J43" s="55">
        <f t="shared" ref="J43:L43" si="19">J32+J42</f>
        <v>735.88199999999995</v>
      </c>
      <c r="K43" s="62"/>
      <c r="L43" s="59">
        <f t="shared" si="19"/>
        <v>83.75</v>
      </c>
    </row>
    <row r="44" spans="1:12" ht="14.4">
      <c r="A44" s="17">
        <v>1</v>
      </c>
      <c r="B44" s="18">
        <v>3</v>
      </c>
      <c r="C44" s="19" t="s">
        <v>20</v>
      </c>
      <c r="D44" s="5" t="s">
        <v>21</v>
      </c>
      <c r="E44" s="35"/>
      <c r="F44" s="36"/>
      <c r="G44" s="36"/>
      <c r="H44" s="36"/>
      <c r="I44" s="36"/>
      <c r="J44" s="36"/>
      <c r="K44" s="37"/>
      <c r="L44" s="56"/>
    </row>
    <row r="45" spans="1:12" ht="14.4">
      <c r="A45" s="20"/>
      <c r="B45" s="13"/>
      <c r="C45" s="11"/>
      <c r="D45" s="6"/>
      <c r="E45" s="38"/>
      <c r="F45" s="39"/>
      <c r="G45" s="39"/>
      <c r="H45" s="39"/>
      <c r="I45" s="39"/>
      <c r="J45" s="39"/>
      <c r="K45" s="40"/>
      <c r="L45" s="57"/>
    </row>
    <row r="46" spans="1:12" ht="14.4">
      <c r="A46" s="20"/>
      <c r="B46" s="13"/>
      <c r="C46" s="11"/>
      <c r="D46" s="7" t="s">
        <v>22</v>
      </c>
      <c r="E46" s="38"/>
      <c r="F46" s="39"/>
      <c r="G46" s="39"/>
      <c r="H46" s="39"/>
      <c r="I46" s="39"/>
      <c r="J46" s="39"/>
      <c r="K46" s="40"/>
      <c r="L46" s="57"/>
    </row>
    <row r="47" spans="1:12" ht="14.4">
      <c r="A47" s="20"/>
      <c r="B47" s="13"/>
      <c r="C47" s="11"/>
      <c r="D47" s="7" t="s">
        <v>23</v>
      </c>
      <c r="E47" s="38"/>
      <c r="F47" s="39"/>
      <c r="G47" s="39"/>
      <c r="H47" s="39"/>
      <c r="I47" s="39"/>
      <c r="J47" s="39"/>
      <c r="K47" s="40"/>
      <c r="L47" s="57"/>
    </row>
    <row r="48" spans="1:12" ht="14.4">
      <c r="A48" s="20"/>
      <c r="B48" s="13"/>
      <c r="C48" s="11"/>
      <c r="D48" s="7" t="s">
        <v>24</v>
      </c>
      <c r="E48" s="38"/>
      <c r="F48" s="39"/>
      <c r="G48" s="39"/>
      <c r="H48" s="39"/>
      <c r="I48" s="39"/>
      <c r="J48" s="39"/>
      <c r="K48" s="40"/>
      <c r="L48" s="57"/>
    </row>
    <row r="49" spans="1:12" ht="14.4">
      <c r="A49" s="20"/>
      <c r="B49" s="13"/>
      <c r="C49" s="11"/>
      <c r="D49" s="6"/>
      <c r="E49" s="38"/>
      <c r="F49" s="39"/>
      <c r="G49" s="39"/>
      <c r="H49" s="39"/>
      <c r="I49" s="39"/>
      <c r="J49" s="39"/>
      <c r="K49" s="40"/>
      <c r="L49" s="57"/>
    </row>
    <row r="50" spans="1:12" ht="14.4">
      <c r="A50" s="20"/>
      <c r="B50" s="13"/>
      <c r="C50" s="11"/>
      <c r="D50" s="6"/>
      <c r="E50" s="38"/>
      <c r="F50" s="39"/>
      <c r="G50" s="39"/>
      <c r="H50" s="39"/>
      <c r="I50" s="39"/>
      <c r="J50" s="39"/>
      <c r="K50" s="40"/>
      <c r="L50" s="57"/>
    </row>
    <row r="51" spans="1:12" ht="14.4">
      <c r="A51" s="21"/>
      <c r="B51" s="14"/>
      <c r="C51" s="8"/>
      <c r="D51" s="15" t="s">
        <v>33</v>
      </c>
      <c r="E51" s="9"/>
      <c r="F51" s="16">
        <f>SUM(F44:F50)</f>
        <v>0</v>
      </c>
      <c r="G51" s="16">
        <f t="shared" ref="G51" si="20">SUM(G44:G50)</f>
        <v>0</v>
      </c>
      <c r="H51" s="16">
        <f t="shared" ref="H51" si="21">SUM(H44:H50)</f>
        <v>0</v>
      </c>
      <c r="I51" s="16">
        <f t="shared" ref="I51" si="22">SUM(I44:I50)</f>
        <v>0</v>
      </c>
      <c r="J51" s="16">
        <f t="shared" ref="J51:L51" si="23">SUM(J44:J50)</f>
        <v>0</v>
      </c>
      <c r="K51" s="22"/>
      <c r="L51" s="58">
        <f t="shared" si="23"/>
        <v>0</v>
      </c>
    </row>
    <row r="52" spans="1:12" ht="14.4">
      <c r="A52" s="23">
        <f>A44</f>
        <v>1</v>
      </c>
      <c r="B52" s="12">
        <f>B44</f>
        <v>3</v>
      </c>
      <c r="C52" s="10" t="s">
        <v>25</v>
      </c>
      <c r="D52" s="7" t="s">
        <v>26</v>
      </c>
      <c r="E52" s="51" t="s">
        <v>65</v>
      </c>
      <c r="F52" s="52">
        <v>60</v>
      </c>
      <c r="G52" s="50">
        <f>F52*1/100</f>
        <v>0.6</v>
      </c>
      <c r="H52" s="50">
        <f>F52*6.1/100</f>
        <v>3.66</v>
      </c>
      <c r="I52" s="50">
        <f>F52*3.5/100</f>
        <v>2.1</v>
      </c>
      <c r="J52" s="50">
        <f t="shared" ref="J52:J58" si="24">G52*4+H52*9+I52*4</f>
        <v>43.739999999999995</v>
      </c>
      <c r="K52" s="60" t="s">
        <v>70</v>
      </c>
      <c r="L52" s="57">
        <v>10.050000000000001</v>
      </c>
    </row>
    <row r="53" spans="1:12" ht="14.4">
      <c r="A53" s="20"/>
      <c r="B53" s="13"/>
      <c r="C53" s="11"/>
      <c r="D53" s="7" t="s">
        <v>27</v>
      </c>
      <c r="E53" s="51" t="s">
        <v>66</v>
      </c>
      <c r="F53" s="52">
        <v>200</v>
      </c>
      <c r="G53" s="49">
        <f>F53*0.94/100</f>
        <v>1.88</v>
      </c>
      <c r="H53" s="49">
        <f>F53*1.81/100</f>
        <v>3.62</v>
      </c>
      <c r="I53" s="49">
        <f>F53*3.82/100</f>
        <v>7.64</v>
      </c>
      <c r="J53" s="50">
        <f t="shared" si="24"/>
        <v>70.66</v>
      </c>
      <c r="K53" s="60" t="s">
        <v>71</v>
      </c>
      <c r="L53" s="57">
        <v>11.08</v>
      </c>
    </row>
    <row r="54" spans="1:12" ht="14.4">
      <c r="A54" s="20"/>
      <c r="B54" s="13"/>
      <c r="C54" s="11"/>
      <c r="D54" s="7" t="s">
        <v>28</v>
      </c>
      <c r="E54" s="51" t="s">
        <v>67</v>
      </c>
      <c r="F54" s="48">
        <v>90</v>
      </c>
      <c r="G54" s="49">
        <f>F54*13.5/100</f>
        <v>12.15</v>
      </c>
      <c r="H54" s="49">
        <f>F54*21/100</f>
        <v>18.899999999999999</v>
      </c>
      <c r="I54" s="49">
        <f>F54*9.9/100</f>
        <v>8.91</v>
      </c>
      <c r="J54" s="49">
        <f t="shared" si="24"/>
        <v>254.33999999999997</v>
      </c>
      <c r="K54" s="60" t="s">
        <v>72</v>
      </c>
      <c r="L54" s="57">
        <v>44.62</v>
      </c>
    </row>
    <row r="55" spans="1:12" ht="14.4">
      <c r="A55" s="20"/>
      <c r="B55" s="13"/>
      <c r="C55" s="11"/>
      <c r="D55" s="7" t="s">
        <v>29</v>
      </c>
      <c r="E55" s="47" t="s">
        <v>69</v>
      </c>
      <c r="F55" s="48">
        <v>150</v>
      </c>
      <c r="G55" s="49">
        <f>F55*3.63/100</f>
        <v>5.4450000000000003</v>
      </c>
      <c r="H55" s="49">
        <f>F55*4.5/100</f>
        <v>6.75</v>
      </c>
      <c r="I55" s="49">
        <f>F55*22.5/100</f>
        <v>33.75</v>
      </c>
      <c r="J55" s="49">
        <f t="shared" si="24"/>
        <v>217.53</v>
      </c>
      <c r="K55" s="61" t="s">
        <v>73</v>
      </c>
      <c r="L55" s="57">
        <v>9.3699999999999992</v>
      </c>
    </row>
    <row r="56" spans="1:12" ht="14.4">
      <c r="A56" s="20"/>
      <c r="B56" s="13"/>
      <c r="C56" s="11"/>
      <c r="D56" s="7" t="s">
        <v>30</v>
      </c>
      <c r="E56" s="64" t="s">
        <v>68</v>
      </c>
      <c r="F56" s="65">
        <v>200</v>
      </c>
      <c r="G56" s="66">
        <f>F56*0.05/100</f>
        <v>0.1</v>
      </c>
      <c r="H56" s="66">
        <f>F56*0.05/100</f>
        <v>0.1</v>
      </c>
      <c r="I56" s="66">
        <f>F56*5.55/100</f>
        <v>11.1</v>
      </c>
      <c r="J56" s="49">
        <f t="shared" si="24"/>
        <v>45.699999999999996</v>
      </c>
      <c r="K56" s="67" t="s">
        <v>74</v>
      </c>
      <c r="L56" s="57">
        <v>3.35</v>
      </c>
    </row>
    <row r="57" spans="1:12" ht="14.4">
      <c r="A57" s="20"/>
      <c r="B57" s="13"/>
      <c r="C57" s="11"/>
      <c r="D57" s="7" t="s">
        <v>31</v>
      </c>
      <c r="E57" s="47" t="s">
        <v>44</v>
      </c>
      <c r="F57" s="52">
        <v>40</v>
      </c>
      <c r="G57" s="49">
        <f>F57*7.6/100</f>
        <v>3.04</v>
      </c>
      <c r="H57" s="49">
        <f>F57*0.8/100</f>
        <v>0.32</v>
      </c>
      <c r="I57" s="49">
        <f>F57*49.2/100</f>
        <v>19.68</v>
      </c>
      <c r="J57" s="49">
        <f t="shared" si="24"/>
        <v>93.759999999999991</v>
      </c>
      <c r="K57" s="61" t="s">
        <v>51</v>
      </c>
      <c r="L57" s="57">
        <v>3.68</v>
      </c>
    </row>
    <row r="58" spans="1:12" ht="14.4">
      <c r="A58" s="20"/>
      <c r="B58" s="13"/>
      <c r="C58" s="11"/>
      <c r="D58" s="7" t="s">
        <v>32</v>
      </c>
      <c r="E58" s="47" t="s">
        <v>54</v>
      </c>
      <c r="F58" s="52">
        <v>20</v>
      </c>
      <c r="G58" s="49">
        <f>F58*8/100</f>
        <v>1.6</v>
      </c>
      <c r="H58" s="49">
        <f>F58*1.5/100</f>
        <v>0.3</v>
      </c>
      <c r="I58" s="49">
        <f>F58*40.1/100</f>
        <v>8.02</v>
      </c>
      <c r="J58" s="49">
        <f t="shared" si="24"/>
        <v>41.18</v>
      </c>
      <c r="K58" s="61" t="s">
        <v>52</v>
      </c>
      <c r="L58" s="57">
        <v>1.6</v>
      </c>
    </row>
    <row r="59" spans="1:12" ht="14.4">
      <c r="A59" s="20"/>
      <c r="B59" s="13"/>
      <c r="C59" s="11"/>
      <c r="D59" s="6"/>
      <c r="E59" s="38"/>
      <c r="F59" s="39"/>
      <c r="G59" s="39"/>
      <c r="H59" s="39"/>
      <c r="I59" s="39"/>
      <c r="J59" s="39"/>
      <c r="K59" s="40"/>
      <c r="L59" s="57"/>
    </row>
    <row r="60" spans="1:12" ht="14.4">
      <c r="A60" s="20"/>
      <c r="B60" s="13"/>
      <c r="C60" s="11"/>
      <c r="D60" s="6"/>
      <c r="E60" s="38"/>
      <c r="F60" s="39"/>
      <c r="G60" s="39"/>
      <c r="H60" s="39"/>
      <c r="I60" s="39"/>
      <c r="J60" s="39"/>
      <c r="K60" s="40"/>
      <c r="L60" s="57"/>
    </row>
    <row r="61" spans="1:12" ht="14.4">
      <c r="A61" s="21"/>
      <c r="B61" s="14"/>
      <c r="C61" s="8"/>
      <c r="D61" s="15" t="s">
        <v>33</v>
      </c>
      <c r="E61" s="9"/>
      <c r="F61" s="16">
        <f>SUM(F52:F60)</f>
        <v>760</v>
      </c>
      <c r="G61" s="54">
        <f t="shared" ref="G61" si="25">SUM(G52:G60)</f>
        <v>24.815000000000005</v>
      </c>
      <c r="H61" s="54">
        <f t="shared" ref="H61" si="26">SUM(H52:H60)</f>
        <v>33.65</v>
      </c>
      <c r="I61" s="54">
        <f t="shared" ref="I61" si="27">SUM(I52:I60)</f>
        <v>91.2</v>
      </c>
      <c r="J61" s="54">
        <f t="shared" ref="J61:L61" si="28">SUM(J52:J60)</f>
        <v>766.91</v>
      </c>
      <c r="K61" s="22"/>
      <c r="L61" s="58">
        <f t="shared" si="28"/>
        <v>83.75</v>
      </c>
    </row>
    <row r="62" spans="1:12" ht="15.75" customHeight="1">
      <c r="A62" s="26">
        <f>A44</f>
        <v>1</v>
      </c>
      <c r="B62" s="27">
        <f>B44</f>
        <v>3</v>
      </c>
      <c r="C62" s="78" t="s">
        <v>4</v>
      </c>
      <c r="D62" s="79"/>
      <c r="E62" s="28"/>
      <c r="F62" s="29">
        <f>F51+F61</f>
        <v>760</v>
      </c>
      <c r="G62" s="55">
        <f t="shared" ref="G62" si="29">G51+G61</f>
        <v>24.815000000000005</v>
      </c>
      <c r="H62" s="55">
        <f t="shared" ref="H62" si="30">H51+H61</f>
        <v>33.65</v>
      </c>
      <c r="I62" s="55">
        <f t="shared" ref="I62" si="31">I51+I61</f>
        <v>91.2</v>
      </c>
      <c r="J62" s="55">
        <f t="shared" ref="J62:L62" si="32">J51+J61</f>
        <v>766.91</v>
      </c>
      <c r="K62" s="62"/>
      <c r="L62" s="59">
        <f t="shared" si="32"/>
        <v>83.75</v>
      </c>
    </row>
    <row r="63" spans="1:12" ht="14.4">
      <c r="A63" s="17">
        <v>1</v>
      </c>
      <c r="B63" s="18">
        <v>4</v>
      </c>
      <c r="C63" s="19" t="s">
        <v>20</v>
      </c>
      <c r="D63" s="5" t="s">
        <v>21</v>
      </c>
      <c r="E63" s="35"/>
      <c r="F63" s="36"/>
      <c r="G63" s="36"/>
      <c r="H63" s="36"/>
      <c r="I63" s="36"/>
      <c r="J63" s="36"/>
      <c r="K63" s="37"/>
      <c r="L63" s="56"/>
    </row>
    <row r="64" spans="1:12" ht="14.4">
      <c r="A64" s="20"/>
      <c r="B64" s="13"/>
      <c r="C64" s="11"/>
      <c r="D64" s="6"/>
      <c r="E64" s="38"/>
      <c r="F64" s="39"/>
      <c r="G64" s="39"/>
      <c r="H64" s="39"/>
      <c r="I64" s="39"/>
      <c r="J64" s="39"/>
      <c r="K64" s="40"/>
      <c r="L64" s="57"/>
    </row>
    <row r="65" spans="1:12" ht="14.4">
      <c r="A65" s="20"/>
      <c r="B65" s="13"/>
      <c r="C65" s="11"/>
      <c r="D65" s="7" t="s">
        <v>22</v>
      </c>
      <c r="E65" s="38"/>
      <c r="F65" s="39"/>
      <c r="G65" s="39"/>
      <c r="H65" s="39"/>
      <c r="I65" s="39"/>
      <c r="J65" s="39"/>
      <c r="K65" s="40"/>
      <c r="L65" s="57"/>
    </row>
    <row r="66" spans="1:12" ht="14.4">
      <c r="A66" s="20"/>
      <c r="B66" s="13"/>
      <c r="C66" s="11"/>
      <c r="D66" s="7" t="s">
        <v>23</v>
      </c>
      <c r="E66" s="38"/>
      <c r="F66" s="39"/>
      <c r="G66" s="39"/>
      <c r="H66" s="39"/>
      <c r="I66" s="39"/>
      <c r="J66" s="39"/>
      <c r="K66" s="40"/>
      <c r="L66" s="57"/>
    </row>
    <row r="67" spans="1:12" ht="14.4">
      <c r="A67" s="20"/>
      <c r="B67" s="13"/>
      <c r="C67" s="11"/>
      <c r="D67" s="7" t="s">
        <v>24</v>
      </c>
      <c r="E67" s="38"/>
      <c r="F67" s="39"/>
      <c r="G67" s="39"/>
      <c r="H67" s="39"/>
      <c r="I67" s="39"/>
      <c r="J67" s="39"/>
      <c r="K67" s="40"/>
      <c r="L67" s="57"/>
    </row>
    <row r="68" spans="1:12" ht="14.4">
      <c r="A68" s="20"/>
      <c r="B68" s="13"/>
      <c r="C68" s="11"/>
      <c r="D68" s="6"/>
      <c r="E68" s="38"/>
      <c r="F68" s="39"/>
      <c r="G68" s="39"/>
      <c r="H68" s="39"/>
      <c r="I68" s="39"/>
      <c r="J68" s="39"/>
      <c r="K68" s="40"/>
      <c r="L68" s="57"/>
    </row>
    <row r="69" spans="1:12" ht="14.4">
      <c r="A69" s="20"/>
      <c r="B69" s="13"/>
      <c r="C69" s="11"/>
      <c r="D69" s="6"/>
      <c r="E69" s="38"/>
      <c r="F69" s="39"/>
      <c r="G69" s="39"/>
      <c r="H69" s="39"/>
      <c r="I69" s="39"/>
      <c r="J69" s="39"/>
      <c r="K69" s="40"/>
      <c r="L69" s="57"/>
    </row>
    <row r="70" spans="1:12" ht="14.4">
      <c r="A70" s="21"/>
      <c r="B70" s="14"/>
      <c r="C70" s="8"/>
      <c r="D70" s="15" t="s">
        <v>33</v>
      </c>
      <c r="E70" s="9"/>
      <c r="F70" s="16">
        <f>SUM(F63:F69)</f>
        <v>0</v>
      </c>
      <c r="G70" s="16">
        <f t="shared" ref="G70" si="33">SUM(G63:G69)</f>
        <v>0</v>
      </c>
      <c r="H70" s="16">
        <f t="shared" ref="H70" si="34">SUM(H63:H69)</f>
        <v>0</v>
      </c>
      <c r="I70" s="16">
        <f t="shared" ref="I70" si="35">SUM(I63:I69)</f>
        <v>0</v>
      </c>
      <c r="J70" s="16">
        <f t="shared" ref="J70:L70" si="36">SUM(J63:J69)</f>
        <v>0</v>
      </c>
      <c r="K70" s="22"/>
      <c r="L70" s="58">
        <f t="shared" si="36"/>
        <v>0</v>
      </c>
    </row>
    <row r="71" spans="1:12" ht="14.4">
      <c r="A71" s="23">
        <f>A63</f>
        <v>1</v>
      </c>
      <c r="B71" s="12">
        <f>B63</f>
        <v>4</v>
      </c>
      <c r="C71" s="10" t="s">
        <v>25</v>
      </c>
      <c r="D71" s="7" t="s">
        <v>26</v>
      </c>
      <c r="E71" s="47" t="s">
        <v>75</v>
      </c>
      <c r="F71" s="48">
        <v>60</v>
      </c>
      <c r="G71" s="49">
        <f>F71*2.08/100</f>
        <v>1.2480000000000002</v>
      </c>
      <c r="H71" s="48">
        <f>F71*5.12/100</f>
        <v>3.0720000000000001</v>
      </c>
      <c r="I71" s="49">
        <f>F71*5.69/100</f>
        <v>3.4140000000000001</v>
      </c>
      <c r="J71" s="49">
        <f t="shared" ref="J71:J77" si="37">G71*4+H71*9+I71*4</f>
        <v>46.295999999999999</v>
      </c>
      <c r="K71" s="61" t="s">
        <v>80</v>
      </c>
      <c r="L71" s="57">
        <v>6.4</v>
      </c>
    </row>
    <row r="72" spans="1:12" ht="14.4">
      <c r="A72" s="20"/>
      <c r="B72" s="13"/>
      <c r="C72" s="11"/>
      <c r="D72" s="7" t="s">
        <v>27</v>
      </c>
      <c r="E72" s="51" t="s">
        <v>76</v>
      </c>
      <c r="F72" s="48">
        <v>200</v>
      </c>
      <c r="G72" s="49">
        <f>F72*1.05/100</f>
        <v>2.1</v>
      </c>
      <c r="H72" s="49">
        <f>F72*2.04/100</f>
        <v>4.08</v>
      </c>
      <c r="I72" s="49">
        <f>F72*5.3/100</f>
        <v>10.6</v>
      </c>
      <c r="J72" s="50">
        <f t="shared" si="37"/>
        <v>87.52</v>
      </c>
      <c r="K72" s="68" t="s">
        <v>81</v>
      </c>
      <c r="L72" s="57">
        <v>10.82</v>
      </c>
    </row>
    <row r="73" spans="1:12" ht="14.4">
      <c r="A73" s="20"/>
      <c r="B73" s="13"/>
      <c r="C73" s="11"/>
      <c r="D73" s="7" t="s">
        <v>28</v>
      </c>
      <c r="E73" s="51" t="s">
        <v>79</v>
      </c>
      <c r="F73" s="48">
        <v>90</v>
      </c>
      <c r="G73" s="49">
        <f>F73*9.5/100</f>
        <v>8.5500000000000007</v>
      </c>
      <c r="H73" s="49">
        <f>F73*11.07/100</f>
        <v>9.963000000000001</v>
      </c>
      <c r="I73" s="49">
        <f>F73*2.2/100</f>
        <v>1.9800000000000002</v>
      </c>
      <c r="J73" s="49">
        <f t="shared" si="37"/>
        <v>131.78700000000001</v>
      </c>
      <c r="K73" s="60" t="s">
        <v>82</v>
      </c>
      <c r="L73" s="57">
        <v>41.07</v>
      </c>
    </row>
    <row r="74" spans="1:12" ht="14.4">
      <c r="A74" s="20"/>
      <c r="B74" s="13"/>
      <c r="C74" s="11"/>
      <c r="D74" s="7" t="s">
        <v>29</v>
      </c>
      <c r="E74" s="47" t="s">
        <v>77</v>
      </c>
      <c r="F74" s="48">
        <v>150</v>
      </c>
      <c r="G74" s="49">
        <f>F74*2.3/100</f>
        <v>3.45</v>
      </c>
      <c r="H74" s="48">
        <f>F74*3.7/100</f>
        <v>5.55</v>
      </c>
      <c r="I74" s="49">
        <f>F74*23.4/100</f>
        <v>35.1</v>
      </c>
      <c r="J74" s="49">
        <f t="shared" si="37"/>
        <v>204.15</v>
      </c>
      <c r="K74" s="61" t="s">
        <v>83</v>
      </c>
      <c r="L74" s="57">
        <v>13.91</v>
      </c>
    </row>
    <row r="75" spans="1:12" ht="14.4">
      <c r="A75" s="20"/>
      <c r="B75" s="13"/>
      <c r="C75" s="11"/>
      <c r="D75" s="7" t="s">
        <v>30</v>
      </c>
      <c r="E75" s="51" t="s">
        <v>78</v>
      </c>
      <c r="F75" s="48">
        <v>200</v>
      </c>
      <c r="G75" s="49">
        <f>F75*0.67/200</f>
        <v>0.67</v>
      </c>
      <c r="H75" s="49">
        <f>F75*0.27/200</f>
        <v>0.27</v>
      </c>
      <c r="I75" s="49">
        <f>F75*18.3/200</f>
        <v>18.3</v>
      </c>
      <c r="J75" s="49">
        <f t="shared" si="37"/>
        <v>78.31</v>
      </c>
      <c r="K75" s="60" t="s">
        <v>84</v>
      </c>
      <c r="L75" s="57">
        <v>6.27</v>
      </c>
    </row>
    <row r="76" spans="1:12" ht="14.4">
      <c r="A76" s="20"/>
      <c r="B76" s="13"/>
      <c r="C76" s="11"/>
      <c r="D76" s="7" t="s">
        <v>31</v>
      </c>
      <c r="E76" s="47" t="s">
        <v>44</v>
      </c>
      <c r="F76" s="52">
        <v>50</v>
      </c>
      <c r="G76" s="49">
        <f>F76*7.6/100</f>
        <v>3.8</v>
      </c>
      <c r="H76" s="49">
        <f>F76*0.8/100</f>
        <v>0.4</v>
      </c>
      <c r="I76" s="49">
        <f>F76*49.2/100</f>
        <v>24.6</v>
      </c>
      <c r="J76" s="49">
        <f t="shared" si="37"/>
        <v>117.2</v>
      </c>
      <c r="K76" s="61" t="s">
        <v>51</v>
      </c>
      <c r="L76" s="57">
        <v>3.68</v>
      </c>
    </row>
    <row r="77" spans="1:12" ht="14.4">
      <c r="A77" s="20"/>
      <c r="B77" s="13"/>
      <c r="C77" s="11"/>
      <c r="D77" s="7" t="s">
        <v>32</v>
      </c>
      <c r="E77" s="47" t="s">
        <v>54</v>
      </c>
      <c r="F77" s="52">
        <v>20</v>
      </c>
      <c r="G77" s="49">
        <f>F77*8/100</f>
        <v>1.6</v>
      </c>
      <c r="H77" s="49">
        <f>F77*1.5/100</f>
        <v>0.3</v>
      </c>
      <c r="I77" s="49">
        <f>F77*40.1/100</f>
        <v>8.02</v>
      </c>
      <c r="J77" s="49">
        <f t="shared" si="37"/>
        <v>41.18</v>
      </c>
      <c r="K77" s="61" t="s">
        <v>52</v>
      </c>
      <c r="L77" s="77">
        <v>1.6</v>
      </c>
    </row>
    <row r="78" spans="1:12" ht="14.4">
      <c r="A78" s="20"/>
      <c r="B78" s="13"/>
      <c r="C78" s="11"/>
      <c r="D78" s="6"/>
      <c r="E78" s="38"/>
      <c r="F78" s="39"/>
      <c r="G78" s="39"/>
      <c r="H78" s="39"/>
      <c r="I78" s="39"/>
      <c r="J78" s="39"/>
      <c r="K78" s="40"/>
      <c r="L78" s="57"/>
    </row>
    <row r="79" spans="1:12" ht="14.4">
      <c r="A79" s="20"/>
      <c r="B79" s="13"/>
      <c r="C79" s="11"/>
      <c r="D79" s="6"/>
      <c r="E79" s="38"/>
      <c r="F79" s="39"/>
      <c r="G79" s="39"/>
      <c r="H79" s="39"/>
      <c r="I79" s="39"/>
      <c r="J79" s="39"/>
      <c r="K79" s="40"/>
      <c r="L79" s="57"/>
    </row>
    <row r="80" spans="1:12" ht="14.4">
      <c r="A80" s="21"/>
      <c r="B80" s="14"/>
      <c r="C80" s="8"/>
      <c r="D80" s="15" t="s">
        <v>33</v>
      </c>
      <c r="E80" s="9"/>
      <c r="F80" s="16">
        <f>SUM(F71:F79)</f>
        <v>770</v>
      </c>
      <c r="G80" s="54">
        <f t="shared" ref="G80" si="38">SUM(G71:G79)</f>
        <v>21.418000000000006</v>
      </c>
      <c r="H80" s="54">
        <f t="shared" ref="H80" si="39">SUM(H71:H79)</f>
        <v>23.635000000000002</v>
      </c>
      <c r="I80" s="54">
        <f t="shared" ref="I80" si="40">SUM(I71:I79)</f>
        <v>102.014</v>
      </c>
      <c r="J80" s="54">
        <f t="shared" ref="J80:L80" si="41">SUM(J71:J79)</f>
        <v>706.4430000000001</v>
      </c>
      <c r="K80" s="22"/>
      <c r="L80" s="58">
        <f t="shared" si="41"/>
        <v>83.75</v>
      </c>
    </row>
    <row r="81" spans="1:12" ht="15.75" customHeight="1">
      <c r="A81" s="26">
        <f>A63</f>
        <v>1</v>
      </c>
      <c r="B81" s="27">
        <f>B63</f>
        <v>4</v>
      </c>
      <c r="C81" s="78" t="s">
        <v>4</v>
      </c>
      <c r="D81" s="79"/>
      <c r="E81" s="28"/>
      <c r="F81" s="29">
        <f>F70+F80</f>
        <v>770</v>
      </c>
      <c r="G81" s="55">
        <f t="shared" ref="G81" si="42">G70+G80</f>
        <v>21.418000000000006</v>
      </c>
      <c r="H81" s="55">
        <f t="shared" ref="H81" si="43">H70+H80</f>
        <v>23.635000000000002</v>
      </c>
      <c r="I81" s="55">
        <f t="shared" ref="I81" si="44">I70+I80</f>
        <v>102.014</v>
      </c>
      <c r="J81" s="55">
        <f t="shared" ref="J81:L81" si="45">J70+J80</f>
        <v>706.4430000000001</v>
      </c>
      <c r="K81" s="62"/>
      <c r="L81" s="59">
        <f t="shared" si="45"/>
        <v>83.75</v>
      </c>
    </row>
    <row r="82" spans="1:12" ht="14.4">
      <c r="A82" s="17">
        <v>1</v>
      </c>
      <c r="B82" s="18">
        <v>5</v>
      </c>
      <c r="C82" s="19" t="s">
        <v>20</v>
      </c>
      <c r="D82" s="5" t="s">
        <v>21</v>
      </c>
      <c r="E82" s="35"/>
      <c r="F82" s="36"/>
      <c r="G82" s="36"/>
      <c r="H82" s="36"/>
      <c r="I82" s="36"/>
      <c r="J82" s="36"/>
      <c r="K82" s="37"/>
      <c r="L82" s="56"/>
    </row>
    <row r="83" spans="1:12" ht="14.4">
      <c r="A83" s="20"/>
      <c r="B83" s="13"/>
      <c r="C83" s="11"/>
      <c r="D83" s="6"/>
      <c r="E83" s="38"/>
      <c r="F83" s="39"/>
      <c r="G83" s="39"/>
      <c r="H83" s="39"/>
      <c r="I83" s="39"/>
      <c r="J83" s="39"/>
      <c r="K83" s="40"/>
      <c r="L83" s="57"/>
    </row>
    <row r="84" spans="1:12" ht="14.4">
      <c r="A84" s="20"/>
      <c r="B84" s="13"/>
      <c r="C84" s="11"/>
      <c r="D84" s="7" t="s">
        <v>22</v>
      </c>
      <c r="E84" s="38"/>
      <c r="F84" s="39"/>
      <c r="G84" s="39"/>
      <c r="H84" s="39"/>
      <c r="I84" s="39"/>
      <c r="J84" s="39"/>
      <c r="K84" s="40"/>
      <c r="L84" s="57"/>
    </row>
    <row r="85" spans="1:12" ht="14.4">
      <c r="A85" s="20"/>
      <c r="B85" s="13"/>
      <c r="C85" s="11"/>
      <c r="D85" s="7" t="s">
        <v>23</v>
      </c>
      <c r="E85" s="38"/>
      <c r="F85" s="39"/>
      <c r="G85" s="39"/>
      <c r="H85" s="39"/>
      <c r="I85" s="39"/>
      <c r="J85" s="39"/>
      <c r="K85" s="40"/>
      <c r="L85" s="57"/>
    </row>
    <row r="86" spans="1:12" ht="14.4">
      <c r="A86" s="20"/>
      <c r="B86" s="13"/>
      <c r="C86" s="11"/>
      <c r="D86" s="7" t="s">
        <v>24</v>
      </c>
      <c r="E86" s="38"/>
      <c r="F86" s="39"/>
      <c r="G86" s="39"/>
      <c r="H86" s="39"/>
      <c r="I86" s="39"/>
      <c r="J86" s="39"/>
      <c r="K86" s="40"/>
      <c r="L86" s="57"/>
    </row>
    <row r="87" spans="1:12" ht="14.4">
      <c r="A87" s="20"/>
      <c r="B87" s="13"/>
      <c r="C87" s="11"/>
      <c r="D87" s="6"/>
      <c r="E87" s="38"/>
      <c r="F87" s="39"/>
      <c r="G87" s="39"/>
      <c r="H87" s="39"/>
      <c r="I87" s="39"/>
      <c r="J87" s="39"/>
      <c r="K87" s="40"/>
      <c r="L87" s="57"/>
    </row>
    <row r="88" spans="1:12" ht="14.4">
      <c r="A88" s="20"/>
      <c r="B88" s="13"/>
      <c r="C88" s="11"/>
      <c r="D88" s="6"/>
      <c r="E88" s="38"/>
      <c r="F88" s="39"/>
      <c r="G88" s="39"/>
      <c r="H88" s="39"/>
      <c r="I88" s="39"/>
      <c r="J88" s="39"/>
      <c r="K88" s="40"/>
      <c r="L88" s="57"/>
    </row>
    <row r="89" spans="1:12" ht="14.4">
      <c r="A89" s="21"/>
      <c r="B89" s="14"/>
      <c r="C89" s="8"/>
      <c r="D89" s="15" t="s">
        <v>33</v>
      </c>
      <c r="E89" s="9"/>
      <c r="F89" s="16">
        <f>SUM(F82:F88)</f>
        <v>0</v>
      </c>
      <c r="G89" s="16">
        <f t="shared" ref="G89" si="46">SUM(G82:G88)</f>
        <v>0</v>
      </c>
      <c r="H89" s="16">
        <f t="shared" ref="H89" si="47">SUM(H82:H88)</f>
        <v>0</v>
      </c>
      <c r="I89" s="16">
        <f t="shared" ref="I89" si="48">SUM(I82:I88)</f>
        <v>0</v>
      </c>
      <c r="J89" s="16">
        <f t="shared" ref="J89:L89" si="49">SUM(J82:J88)</f>
        <v>0</v>
      </c>
      <c r="K89" s="22"/>
      <c r="L89" s="58">
        <f t="shared" si="49"/>
        <v>0</v>
      </c>
    </row>
    <row r="90" spans="1:12" ht="14.4">
      <c r="A90" s="23">
        <f>A82</f>
        <v>1</v>
      </c>
      <c r="B90" s="12">
        <f>B82</f>
        <v>5</v>
      </c>
      <c r="C90" s="10" t="s">
        <v>25</v>
      </c>
      <c r="D90" s="7" t="s">
        <v>26</v>
      </c>
      <c r="E90" s="51" t="s">
        <v>85</v>
      </c>
      <c r="F90" s="52">
        <v>60</v>
      </c>
      <c r="G90" s="50">
        <f>F90*1/100</f>
        <v>0.6</v>
      </c>
      <c r="H90" s="50">
        <f>F90*6/100</f>
        <v>3.6</v>
      </c>
      <c r="I90" s="50">
        <f>F90*3.1/100</f>
        <v>1.86</v>
      </c>
      <c r="J90" s="50">
        <f>G90*4+H90*9+I90*4</f>
        <v>42.239999999999995</v>
      </c>
      <c r="K90" s="60" t="s">
        <v>88</v>
      </c>
      <c r="L90" s="57">
        <v>7.76</v>
      </c>
    </row>
    <row r="91" spans="1:12" ht="14.4">
      <c r="A91" s="20"/>
      <c r="B91" s="13"/>
      <c r="C91" s="11"/>
      <c r="D91" s="7" t="s">
        <v>27</v>
      </c>
      <c r="E91" s="53" t="s">
        <v>86</v>
      </c>
      <c r="F91" s="52">
        <v>200</v>
      </c>
      <c r="G91" s="50">
        <f>F91*2.9/250</f>
        <v>2.3199999999999998</v>
      </c>
      <c r="H91" s="50">
        <f>F91*2.5/250</f>
        <v>2</v>
      </c>
      <c r="I91" s="50">
        <f>F91*21/250</f>
        <v>16.8</v>
      </c>
      <c r="J91" s="50">
        <f>G91*4+H91*9+I91*4</f>
        <v>94.48</v>
      </c>
      <c r="K91" s="60" t="s">
        <v>89</v>
      </c>
      <c r="L91" s="57">
        <v>13.75</v>
      </c>
    </row>
    <row r="92" spans="1:12" ht="14.4">
      <c r="A92" s="20"/>
      <c r="B92" s="13"/>
      <c r="C92" s="11"/>
      <c r="D92" s="7" t="s">
        <v>28</v>
      </c>
      <c r="E92" s="51" t="s">
        <v>87</v>
      </c>
      <c r="F92" s="48">
        <v>230</v>
      </c>
      <c r="G92" s="49">
        <f>F92*5.7/100</f>
        <v>13.11</v>
      </c>
      <c r="H92" s="49">
        <f>F92*9.45/100</f>
        <v>21.734999999999999</v>
      </c>
      <c r="I92" s="49">
        <f>F92*9.4/100</f>
        <v>21.62</v>
      </c>
      <c r="J92" s="49">
        <f>G92*4+H92*9+I92*4</f>
        <v>334.53500000000003</v>
      </c>
      <c r="K92" s="60" t="s">
        <v>90</v>
      </c>
      <c r="L92" s="57">
        <v>53.12</v>
      </c>
    </row>
    <row r="93" spans="1:12" ht="14.4">
      <c r="A93" s="20"/>
      <c r="B93" s="13"/>
      <c r="C93" s="11"/>
      <c r="D93" s="7" t="s">
        <v>29</v>
      </c>
      <c r="E93" s="38"/>
      <c r="F93" s="39"/>
      <c r="G93" s="39"/>
      <c r="H93" s="39"/>
      <c r="I93" s="39"/>
      <c r="J93" s="39"/>
      <c r="K93" s="40"/>
      <c r="L93" s="57"/>
    </row>
    <row r="94" spans="1:12" ht="14.4">
      <c r="A94" s="20"/>
      <c r="B94" s="13"/>
      <c r="C94" s="11"/>
      <c r="D94" s="7" t="s">
        <v>30</v>
      </c>
      <c r="E94" s="51" t="s">
        <v>59</v>
      </c>
      <c r="F94" s="48">
        <v>200</v>
      </c>
      <c r="G94" s="49">
        <f>F94*0.6/200</f>
        <v>0.6</v>
      </c>
      <c r="H94" s="49">
        <f>F94*0.1/200</f>
        <v>0.1</v>
      </c>
      <c r="I94" s="49">
        <f>F94*20.1/200</f>
        <v>20.100000000000001</v>
      </c>
      <c r="J94" s="49">
        <f>G94*4+H94*9+I94*4</f>
        <v>83.7</v>
      </c>
      <c r="K94" s="60" t="s">
        <v>64</v>
      </c>
      <c r="L94" s="57">
        <v>3.84</v>
      </c>
    </row>
    <row r="95" spans="1:12" ht="14.4">
      <c r="A95" s="20"/>
      <c r="B95" s="13"/>
      <c r="C95" s="11"/>
      <c r="D95" s="7" t="s">
        <v>31</v>
      </c>
      <c r="E95" s="47" t="s">
        <v>44</v>
      </c>
      <c r="F95" s="52">
        <v>50</v>
      </c>
      <c r="G95" s="49">
        <f>F95*7.6/100</f>
        <v>3.8</v>
      </c>
      <c r="H95" s="49">
        <f>F95*0.8/100</f>
        <v>0.4</v>
      </c>
      <c r="I95" s="49">
        <f>F95*49.2/100</f>
        <v>24.6</v>
      </c>
      <c r="J95" s="49">
        <f>G95*4+H95*9+I95*4</f>
        <v>117.2</v>
      </c>
      <c r="K95" s="61" t="s">
        <v>51</v>
      </c>
      <c r="L95" s="57">
        <v>3.68</v>
      </c>
    </row>
    <row r="96" spans="1:12" ht="14.4">
      <c r="A96" s="20"/>
      <c r="B96" s="13"/>
      <c r="C96" s="11"/>
      <c r="D96" s="7" t="s">
        <v>32</v>
      </c>
      <c r="E96" s="47" t="s">
        <v>54</v>
      </c>
      <c r="F96" s="52">
        <v>20</v>
      </c>
      <c r="G96" s="49">
        <f>F96*8/100</f>
        <v>1.6</v>
      </c>
      <c r="H96" s="49">
        <f>F96*1.5/100</f>
        <v>0.3</v>
      </c>
      <c r="I96" s="49">
        <f>F96*40.1/100</f>
        <v>8.02</v>
      </c>
      <c r="J96" s="49">
        <f>G96*4+H96*9+I96*4</f>
        <v>41.18</v>
      </c>
      <c r="K96" s="61" t="s">
        <v>52</v>
      </c>
      <c r="L96" s="57">
        <v>1.6</v>
      </c>
    </row>
    <row r="97" spans="1:12" ht="14.4">
      <c r="A97" s="20"/>
      <c r="B97" s="13"/>
      <c r="C97" s="11"/>
      <c r="D97" s="6"/>
      <c r="E97" s="38"/>
      <c r="F97" s="39"/>
      <c r="G97" s="39"/>
      <c r="H97" s="39"/>
      <c r="I97" s="39"/>
      <c r="J97" s="39"/>
      <c r="K97" s="40"/>
      <c r="L97" s="57"/>
    </row>
    <row r="98" spans="1:12" ht="14.4">
      <c r="A98" s="20"/>
      <c r="B98" s="13"/>
      <c r="C98" s="11"/>
      <c r="D98" s="6"/>
      <c r="E98" s="38"/>
      <c r="F98" s="39"/>
      <c r="G98" s="39"/>
      <c r="H98" s="39"/>
      <c r="I98" s="39"/>
      <c r="J98" s="39"/>
      <c r="K98" s="40"/>
      <c r="L98" s="57"/>
    </row>
    <row r="99" spans="1:12" ht="14.4">
      <c r="A99" s="21"/>
      <c r="B99" s="14"/>
      <c r="C99" s="8"/>
      <c r="D99" s="15" t="s">
        <v>33</v>
      </c>
      <c r="E99" s="9"/>
      <c r="F99" s="16">
        <f>SUM(F90:F98)</f>
        <v>760</v>
      </c>
      <c r="G99" s="16">
        <f t="shared" ref="G99" si="50">SUM(G90:G98)</f>
        <v>22.030000000000005</v>
      </c>
      <c r="H99" s="54">
        <f t="shared" ref="H99" si="51">SUM(H90:H98)</f>
        <v>28.135000000000002</v>
      </c>
      <c r="I99" s="54">
        <f t="shared" ref="I99" si="52">SUM(I90:I98)</f>
        <v>93</v>
      </c>
      <c r="J99" s="54">
        <f t="shared" ref="J99:L99" si="53">SUM(J90:J98)</f>
        <v>713.33500000000004</v>
      </c>
      <c r="K99" s="22"/>
      <c r="L99" s="58">
        <f t="shared" si="53"/>
        <v>83.75</v>
      </c>
    </row>
    <row r="100" spans="1:12" ht="15.75" customHeight="1">
      <c r="A100" s="26">
        <f>A82</f>
        <v>1</v>
      </c>
      <c r="B100" s="27">
        <f>B82</f>
        <v>5</v>
      </c>
      <c r="C100" s="78" t="s">
        <v>4</v>
      </c>
      <c r="D100" s="79"/>
      <c r="E100" s="28"/>
      <c r="F100" s="29">
        <f>F89+F99</f>
        <v>760</v>
      </c>
      <c r="G100" s="29">
        <f t="shared" ref="G100" si="54">G89+G99</f>
        <v>22.030000000000005</v>
      </c>
      <c r="H100" s="55">
        <f t="shared" ref="H100" si="55">H89+H99</f>
        <v>28.135000000000002</v>
      </c>
      <c r="I100" s="55">
        <f t="shared" ref="I100" si="56">I89+I99</f>
        <v>93</v>
      </c>
      <c r="J100" s="55">
        <f t="shared" ref="J100:L100" si="57">J89+J99</f>
        <v>713.33500000000004</v>
      </c>
      <c r="K100" s="62"/>
      <c r="L100" s="59">
        <f t="shared" si="57"/>
        <v>83.75</v>
      </c>
    </row>
    <row r="101" spans="1:12" ht="14.4">
      <c r="A101" s="17">
        <v>2</v>
      </c>
      <c r="B101" s="18">
        <v>6</v>
      </c>
      <c r="C101" s="19" t="s">
        <v>20</v>
      </c>
      <c r="D101" s="5" t="s">
        <v>21</v>
      </c>
      <c r="E101" s="35"/>
      <c r="F101" s="36"/>
      <c r="G101" s="36"/>
      <c r="H101" s="36"/>
      <c r="I101" s="36"/>
      <c r="J101" s="36"/>
      <c r="K101" s="37"/>
      <c r="L101" s="56"/>
    </row>
    <row r="102" spans="1:12" ht="14.4">
      <c r="A102" s="20"/>
      <c r="B102" s="13"/>
      <c r="C102" s="11"/>
      <c r="D102" s="6"/>
      <c r="E102" s="38"/>
      <c r="F102" s="39"/>
      <c r="G102" s="39"/>
      <c r="H102" s="39"/>
      <c r="I102" s="39"/>
      <c r="J102" s="39"/>
      <c r="K102" s="40"/>
      <c r="L102" s="57"/>
    </row>
    <row r="103" spans="1:12" ht="14.4">
      <c r="A103" s="20"/>
      <c r="B103" s="13"/>
      <c r="C103" s="11"/>
      <c r="D103" s="7" t="s">
        <v>22</v>
      </c>
      <c r="E103" s="38"/>
      <c r="F103" s="39"/>
      <c r="G103" s="39"/>
      <c r="H103" s="39"/>
      <c r="I103" s="39"/>
      <c r="J103" s="39"/>
      <c r="K103" s="40"/>
      <c r="L103" s="57"/>
    </row>
    <row r="104" spans="1:12" ht="14.4">
      <c r="A104" s="20"/>
      <c r="B104" s="13"/>
      <c r="C104" s="11"/>
      <c r="D104" s="7" t="s">
        <v>23</v>
      </c>
      <c r="E104" s="38"/>
      <c r="F104" s="39"/>
      <c r="G104" s="39"/>
      <c r="H104" s="39"/>
      <c r="I104" s="39"/>
      <c r="J104" s="39"/>
      <c r="K104" s="40"/>
      <c r="L104" s="57"/>
    </row>
    <row r="105" spans="1:12" ht="14.4">
      <c r="A105" s="20"/>
      <c r="B105" s="13"/>
      <c r="C105" s="11"/>
      <c r="D105" s="7" t="s">
        <v>24</v>
      </c>
      <c r="E105" s="38"/>
      <c r="F105" s="39"/>
      <c r="G105" s="39"/>
      <c r="H105" s="39"/>
      <c r="I105" s="39"/>
      <c r="J105" s="39"/>
      <c r="K105" s="40"/>
      <c r="L105" s="57"/>
    </row>
    <row r="106" spans="1:12" ht="14.4">
      <c r="A106" s="20"/>
      <c r="B106" s="13"/>
      <c r="C106" s="11"/>
      <c r="D106" s="6"/>
      <c r="E106" s="38"/>
      <c r="F106" s="39"/>
      <c r="G106" s="39"/>
      <c r="H106" s="39"/>
      <c r="I106" s="39"/>
      <c r="J106" s="39"/>
      <c r="K106" s="40"/>
      <c r="L106" s="57"/>
    </row>
    <row r="107" spans="1:12" ht="14.4">
      <c r="A107" s="20"/>
      <c r="B107" s="13"/>
      <c r="C107" s="11"/>
      <c r="D107" s="6"/>
      <c r="E107" s="38"/>
      <c r="F107" s="39"/>
      <c r="G107" s="39"/>
      <c r="H107" s="39"/>
      <c r="I107" s="39"/>
      <c r="J107" s="39"/>
      <c r="K107" s="40"/>
      <c r="L107" s="57"/>
    </row>
    <row r="108" spans="1:12" ht="14.4">
      <c r="A108" s="21"/>
      <c r="B108" s="14"/>
      <c r="C108" s="8"/>
      <c r="D108" s="15" t="s">
        <v>33</v>
      </c>
      <c r="E108" s="9"/>
      <c r="F108" s="16">
        <f>SUM(F101:F107)</f>
        <v>0</v>
      </c>
      <c r="G108" s="16">
        <f t="shared" ref="G108:J108" si="58">SUM(G101:G107)</f>
        <v>0</v>
      </c>
      <c r="H108" s="16">
        <f t="shared" si="58"/>
        <v>0</v>
      </c>
      <c r="I108" s="16">
        <f t="shared" si="58"/>
        <v>0</v>
      </c>
      <c r="J108" s="16">
        <f t="shared" si="58"/>
        <v>0</v>
      </c>
      <c r="K108" s="22"/>
      <c r="L108" s="58">
        <f t="shared" ref="L108" si="59">SUM(L101:L107)</f>
        <v>0</v>
      </c>
    </row>
    <row r="109" spans="1:12" ht="14.4">
      <c r="A109" s="23">
        <f>A101</f>
        <v>2</v>
      </c>
      <c r="B109" s="12">
        <f>B101</f>
        <v>6</v>
      </c>
      <c r="C109" s="10" t="s">
        <v>25</v>
      </c>
      <c r="D109" s="7" t="s">
        <v>26</v>
      </c>
      <c r="E109" s="51" t="s">
        <v>91</v>
      </c>
      <c r="F109" s="48">
        <v>60</v>
      </c>
      <c r="G109" s="49">
        <f>F109*1.1/100</f>
        <v>0.66</v>
      </c>
      <c r="H109" s="49">
        <f>F109*0.2/100</f>
        <v>0.12</v>
      </c>
      <c r="I109" s="49">
        <f>F109*3.8/100</f>
        <v>2.2799999999999998</v>
      </c>
      <c r="J109" s="50">
        <f t="shared" ref="J109:J115" si="60">G109*4+H109*9+I109*4</f>
        <v>12.84</v>
      </c>
      <c r="K109" s="60" t="s">
        <v>94</v>
      </c>
      <c r="L109" s="57">
        <v>9.02</v>
      </c>
    </row>
    <row r="110" spans="1:12" ht="14.4">
      <c r="A110" s="20"/>
      <c r="B110" s="13"/>
      <c r="C110" s="11"/>
      <c r="D110" s="7" t="s">
        <v>27</v>
      </c>
      <c r="E110" s="47" t="s">
        <v>92</v>
      </c>
      <c r="F110" s="48">
        <v>200</v>
      </c>
      <c r="G110" s="49">
        <f>F110*2.48/100</f>
        <v>4.96</v>
      </c>
      <c r="H110" s="49">
        <f>F110*2.24/100</f>
        <v>4.4800000000000004</v>
      </c>
      <c r="I110" s="49">
        <f>F110*8.92/100</f>
        <v>17.84</v>
      </c>
      <c r="J110" s="49">
        <f t="shared" si="60"/>
        <v>131.52000000000001</v>
      </c>
      <c r="K110" s="61" t="s">
        <v>95</v>
      </c>
      <c r="L110" s="57">
        <v>4.8600000000000003</v>
      </c>
    </row>
    <row r="111" spans="1:12" ht="14.4">
      <c r="A111" s="20"/>
      <c r="B111" s="13"/>
      <c r="C111" s="11"/>
      <c r="D111" s="7" t="s">
        <v>28</v>
      </c>
      <c r="E111" s="51" t="s">
        <v>93</v>
      </c>
      <c r="F111" s="48">
        <v>90</v>
      </c>
      <c r="G111" s="49">
        <f>F111*11.55/100</f>
        <v>10.395</v>
      </c>
      <c r="H111" s="49">
        <f>F111*17.8/100</f>
        <v>16.02</v>
      </c>
      <c r="I111" s="49">
        <f>F111*7/100</f>
        <v>6.3</v>
      </c>
      <c r="J111" s="49">
        <f t="shared" si="60"/>
        <v>210.95999999999998</v>
      </c>
      <c r="K111" s="60" t="s">
        <v>96</v>
      </c>
      <c r="L111" s="57">
        <v>51.87</v>
      </c>
    </row>
    <row r="112" spans="1:12" ht="14.4">
      <c r="A112" s="20"/>
      <c r="B112" s="13"/>
      <c r="C112" s="11"/>
      <c r="D112" s="7" t="s">
        <v>29</v>
      </c>
      <c r="E112" s="47" t="s">
        <v>69</v>
      </c>
      <c r="F112" s="48">
        <v>150</v>
      </c>
      <c r="G112" s="49">
        <f>F112*3.63/100</f>
        <v>5.4450000000000003</v>
      </c>
      <c r="H112" s="49">
        <f>F112*4.5/100</f>
        <v>6.75</v>
      </c>
      <c r="I112" s="49">
        <f>F112*22.5/100</f>
        <v>33.75</v>
      </c>
      <c r="J112" s="49">
        <f t="shared" si="60"/>
        <v>217.53</v>
      </c>
      <c r="K112" s="61" t="s">
        <v>73</v>
      </c>
      <c r="L112" s="57">
        <v>9.3699999999999992</v>
      </c>
    </row>
    <row r="113" spans="1:12" ht="14.4">
      <c r="A113" s="20"/>
      <c r="B113" s="13"/>
      <c r="C113" s="11"/>
      <c r="D113" s="7" t="s">
        <v>30</v>
      </c>
      <c r="E113" s="64" t="s">
        <v>68</v>
      </c>
      <c r="F113" s="65">
        <v>200</v>
      </c>
      <c r="G113" s="66">
        <f>F113*0.05/100</f>
        <v>0.1</v>
      </c>
      <c r="H113" s="66">
        <f>F113*0.05/100</f>
        <v>0.1</v>
      </c>
      <c r="I113" s="66">
        <f>F113*5.55/100</f>
        <v>11.1</v>
      </c>
      <c r="J113" s="49">
        <f t="shared" si="60"/>
        <v>45.699999999999996</v>
      </c>
      <c r="K113" s="67" t="s">
        <v>74</v>
      </c>
      <c r="L113" s="57">
        <v>3.35</v>
      </c>
    </row>
    <row r="114" spans="1:12" ht="14.4">
      <c r="A114" s="20"/>
      <c r="B114" s="13"/>
      <c r="C114" s="11"/>
      <c r="D114" s="7" t="s">
        <v>31</v>
      </c>
      <c r="E114" s="47" t="s">
        <v>44</v>
      </c>
      <c r="F114" s="52">
        <v>40</v>
      </c>
      <c r="G114" s="49">
        <f>F114*7.6/100</f>
        <v>3.04</v>
      </c>
      <c r="H114" s="49">
        <f>F114*0.8/100</f>
        <v>0.32</v>
      </c>
      <c r="I114" s="49">
        <f>F114*49.2/100</f>
        <v>19.68</v>
      </c>
      <c r="J114" s="49">
        <f t="shared" si="60"/>
        <v>93.759999999999991</v>
      </c>
      <c r="K114" s="61" t="s">
        <v>51</v>
      </c>
      <c r="L114" s="57">
        <v>3.68</v>
      </c>
    </row>
    <row r="115" spans="1:12" ht="14.4">
      <c r="A115" s="20"/>
      <c r="B115" s="13"/>
      <c r="C115" s="11"/>
      <c r="D115" s="7" t="s">
        <v>32</v>
      </c>
      <c r="E115" s="47" t="s">
        <v>54</v>
      </c>
      <c r="F115" s="52">
        <v>20</v>
      </c>
      <c r="G115" s="49">
        <f>F115*8/100</f>
        <v>1.6</v>
      </c>
      <c r="H115" s="49">
        <f>F115*1.5/100</f>
        <v>0.3</v>
      </c>
      <c r="I115" s="49">
        <f>F115*40.1/100</f>
        <v>8.02</v>
      </c>
      <c r="J115" s="49">
        <f t="shared" si="60"/>
        <v>41.18</v>
      </c>
      <c r="K115" s="61" t="s">
        <v>52</v>
      </c>
      <c r="L115" s="57">
        <v>1.6</v>
      </c>
    </row>
    <row r="116" spans="1:12" ht="14.4">
      <c r="A116" s="20"/>
      <c r="B116" s="13"/>
      <c r="C116" s="11"/>
      <c r="D116" s="6"/>
      <c r="E116" s="38"/>
      <c r="F116" s="39"/>
      <c r="G116" s="39"/>
      <c r="H116" s="39"/>
      <c r="I116" s="39"/>
      <c r="J116" s="39"/>
      <c r="K116" s="40"/>
      <c r="L116" s="57"/>
    </row>
    <row r="117" spans="1:12" ht="14.4">
      <c r="A117" s="20"/>
      <c r="B117" s="13"/>
      <c r="C117" s="11"/>
      <c r="D117" s="6"/>
      <c r="E117" s="38"/>
      <c r="F117" s="39"/>
      <c r="G117" s="39"/>
      <c r="H117" s="39"/>
      <c r="I117" s="39"/>
      <c r="J117" s="39"/>
      <c r="K117" s="40"/>
      <c r="L117" s="57"/>
    </row>
    <row r="118" spans="1:12" ht="14.4">
      <c r="A118" s="21"/>
      <c r="B118" s="14"/>
      <c r="C118" s="8"/>
      <c r="D118" s="15" t="s">
        <v>33</v>
      </c>
      <c r="E118" s="9"/>
      <c r="F118" s="16">
        <f>SUM(F109:F117)</f>
        <v>760</v>
      </c>
      <c r="G118" s="16">
        <f t="shared" ref="G118:J118" si="61">SUM(G109:G117)</f>
        <v>26.200000000000003</v>
      </c>
      <c r="H118" s="16">
        <f t="shared" si="61"/>
        <v>28.090000000000003</v>
      </c>
      <c r="I118" s="16">
        <f t="shared" si="61"/>
        <v>98.969999999999985</v>
      </c>
      <c r="J118" s="16">
        <f t="shared" si="61"/>
        <v>753.49</v>
      </c>
      <c r="K118" s="22"/>
      <c r="L118" s="58">
        <f t="shared" ref="L118" si="62">SUM(L109:L117)</f>
        <v>83.75</v>
      </c>
    </row>
    <row r="119" spans="1:12" ht="15" thickBot="1">
      <c r="A119" s="26">
        <f>A101</f>
        <v>2</v>
      </c>
      <c r="B119" s="27">
        <f>B101</f>
        <v>6</v>
      </c>
      <c r="C119" s="78" t="s">
        <v>4</v>
      </c>
      <c r="D119" s="79"/>
      <c r="E119" s="28"/>
      <c r="F119" s="29">
        <f>F108+F118</f>
        <v>760</v>
      </c>
      <c r="G119" s="29">
        <f t="shared" ref="G119" si="63">G108+G118</f>
        <v>26.200000000000003</v>
      </c>
      <c r="H119" s="29">
        <f t="shared" ref="H119" si="64">H108+H118</f>
        <v>28.090000000000003</v>
      </c>
      <c r="I119" s="29">
        <f t="shared" ref="I119" si="65">I108+I118</f>
        <v>98.969999999999985</v>
      </c>
      <c r="J119" s="29">
        <f t="shared" ref="J119:L119" si="66">J108+J118</f>
        <v>753.49</v>
      </c>
      <c r="K119" s="62"/>
      <c r="L119" s="59">
        <f t="shared" si="66"/>
        <v>83.75</v>
      </c>
    </row>
    <row r="120" spans="1:12" ht="14.4">
      <c r="A120" s="17">
        <v>2</v>
      </c>
      <c r="B120" s="18">
        <v>7</v>
      </c>
      <c r="C120" s="19" t="s">
        <v>20</v>
      </c>
      <c r="D120" s="5" t="s">
        <v>21</v>
      </c>
      <c r="E120" s="35"/>
      <c r="F120" s="36"/>
      <c r="G120" s="36"/>
      <c r="H120" s="36"/>
      <c r="I120" s="36"/>
      <c r="J120" s="36"/>
      <c r="K120" s="37"/>
      <c r="L120" s="56"/>
    </row>
    <row r="121" spans="1:12" ht="14.4">
      <c r="A121" s="20"/>
      <c r="B121" s="13"/>
      <c r="C121" s="11"/>
      <c r="D121" s="6"/>
      <c r="E121" s="38"/>
      <c r="F121" s="39"/>
      <c r="G121" s="39"/>
      <c r="H121" s="39"/>
      <c r="I121" s="39"/>
      <c r="J121" s="39"/>
      <c r="K121" s="40"/>
      <c r="L121" s="57"/>
    </row>
    <row r="122" spans="1:12" ht="14.4">
      <c r="A122" s="20"/>
      <c r="B122" s="13"/>
      <c r="C122" s="11"/>
      <c r="D122" s="7" t="s">
        <v>22</v>
      </c>
      <c r="E122" s="38"/>
      <c r="F122" s="39"/>
      <c r="G122" s="39"/>
      <c r="H122" s="39"/>
      <c r="I122" s="39"/>
      <c r="J122" s="39"/>
      <c r="K122" s="40"/>
      <c r="L122" s="57"/>
    </row>
    <row r="123" spans="1:12" ht="14.4">
      <c r="A123" s="20"/>
      <c r="B123" s="13"/>
      <c r="C123" s="11"/>
      <c r="D123" s="7" t="s">
        <v>23</v>
      </c>
      <c r="E123" s="38"/>
      <c r="F123" s="39"/>
      <c r="G123" s="39"/>
      <c r="H123" s="39"/>
      <c r="I123" s="39"/>
      <c r="J123" s="39"/>
      <c r="K123" s="40"/>
      <c r="L123" s="57"/>
    </row>
    <row r="124" spans="1:12" ht="14.4">
      <c r="A124" s="20"/>
      <c r="B124" s="13"/>
      <c r="C124" s="11"/>
      <c r="D124" s="7" t="s">
        <v>24</v>
      </c>
      <c r="E124" s="38"/>
      <c r="F124" s="39"/>
      <c r="G124" s="39"/>
      <c r="H124" s="39"/>
      <c r="I124" s="39"/>
      <c r="J124" s="39"/>
      <c r="K124" s="40"/>
      <c r="L124" s="57"/>
    </row>
    <row r="125" spans="1:12" ht="14.4">
      <c r="A125" s="20"/>
      <c r="B125" s="13"/>
      <c r="C125" s="11"/>
      <c r="D125" s="6"/>
      <c r="E125" s="38"/>
      <c r="F125" s="39"/>
      <c r="G125" s="39"/>
      <c r="H125" s="39"/>
      <c r="I125" s="39"/>
      <c r="J125" s="39"/>
      <c r="K125" s="40"/>
      <c r="L125" s="57"/>
    </row>
    <row r="126" spans="1:12" ht="14.4">
      <c r="A126" s="20"/>
      <c r="B126" s="13"/>
      <c r="C126" s="11"/>
      <c r="D126" s="6"/>
      <c r="E126" s="38"/>
      <c r="F126" s="39"/>
      <c r="G126" s="39"/>
      <c r="H126" s="39"/>
      <c r="I126" s="39"/>
      <c r="J126" s="39"/>
      <c r="K126" s="40"/>
      <c r="L126" s="57"/>
    </row>
    <row r="127" spans="1:12" ht="14.4">
      <c r="A127" s="21"/>
      <c r="B127" s="14"/>
      <c r="C127" s="8"/>
      <c r="D127" s="15" t="s">
        <v>33</v>
      </c>
      <c r="E127" s="9"/>
      <c r="F127" s="16">
        <f>SUM(F120:F126)</f>
        <v>0</v>
      </c>
      <c r="G127" s="16">
        <f t="shared" ref="G127:J127" si="67">SUM(G120:G126)</f>
        <v>0</v>
      </c>
      <c r="H127" s="16">
        <f t="shared" si="67"/>
        <v>0</v>
      </c>
      <c r="I127" s="16">
        <f t="shared" si="67"/>
        <v>0</v>
      </c>
      <c r="J127" s="16">
        <f t="shared" si="67"/>
        <v>0</v>
      </c>
      <c r="K127" s="22"/>
      <c r="L127" s="58">
        <f t="shared" ref="L127" si="68">SUM(L120:L126)</f>
        <v>0</v>
      </c>
    </row>
    <row r="128" spans="1:12" ht="14.4">
      <c r="A128" s="23">
        <f>A120</f>
        <v>2</v>
      </c>
      <c r="B128" s="12">
        <f>B120</f>
        <v>7</v>
      </c>
      <c r="C128" s="10" t="s">
        <v>25</v>
      </c>
      <c r="D128" s="7" t="s">
        <v>26</v>
      </c>
      <c r="E128" s="53" t="s">
        <v>97</v>
      </c>
      <c r="F128" s="48">
        <v>60</v>
      </c>
      <c r="G128" s="49">
        <f>F128*1.2/100</f>
        <v>0.72</v>
      </c>
      <c r="H128" s="49">
        <f>F128*5.1/100</f>
        <v>3.06</v>
      </c>
      <c r="I128" s="49">
        <f>F128*5.5/100</f>
        <v>3.3</v>
      </c>
      <c r="J128" s="50">
        <f t="shared" ref="J128:J134" si="69">G128*4+H128*9+I128*4</f>
        <v>43.62</v>
      </c>
      <c r="K128" s="60" t="s">
        <v>101</v>
      </c>
      <c r="L128" s="57">
        <v>5.92</v>
      </c>
    </row>
    <row r="129" spans="1:12" ht="14.4">
      <c r="A129" s="20"/>
      <c r="B129" s="13"/>
      <c r="C129" s="11"/>
      <c r="D129" s="7" t="s">
        <v>27</v>
      </c>
      <c r="E129" s="51" t="s">
        <v>98</v>
      </c>
      <c r="F129" s="52">
        <v>200</v>
      </c>
      <c r="G129" s="50">
        <f>F129*2.6/250</f>
        <v>2.08</v>
      </c>
      <c r="H129" s="50">
        <f>F129*5.3/250</f>
        <v>4.24</v>
      </c>
      <c r="I129" s="50">
        <f>F129*14.3/250</f>
        <v>11.44</v>
      </c>
      <c r="J129" s="50">
        <f t="shared" si="69"/>
        <v>92.240000000000009</v>
      </c>
      <c r="K129" s="60" t="s">
        <v>102</v>
      </c>
      <c r="L129" s="57">
        <v>9.39</v>
      </c>
    </row>
    <row r="130" spans="1:12" ht="14.4">
      <c r="A130" s="20"/>
      <c r="B130" s="13"/>
      <c r="C130" s="11"/>
      <c r="D130" s="7" t="s">
        <v>28</v>
      </c>
      <c r="E130" s="51" t="s">
        <v>99</v>
      </c>
      <c r="F130" s="48">
        <v>90</v>
      </c>
      <c r="G130" s="49">
        <f>F130*14.3/100</f>
        <v>12.87</v>
      </c>
      <c r="H130" s="49">
        <f>F130*17.1/100</f>
        <v>15.390000000000002</v>
      </c>
      <c r="I130" s="49">
        <f>F130*9.5/100</f>
        <v>8.5500000000000007</v>
      </c>
      <c r="J130" s="49">
        <f t="shared" si="69"/>
        <v>224.19</v>
      </c>
      <c r="K130" s="60" t="s">
        <v>103</v>
      </c>
      <c r="L130" s="57">
        <v>45.5</v>
      </c>
    </row>
    <row r="131" spans="1:12" ht="14.4">
      <c r="A131" s="20"/>
      <c r="B131" s="13"/>
      <c r="C131" s="11"/>
      <c r="D131" s="7" t="s">
        <v>29</v>
      </c>
      <c r="E131" s="47" t="s">
        <v>100</v>
      </c>
      <c r="F131" s="48">
        <v>150</v>
      </c>
      <c r="G131" s="49">
        <f>F131*2.1/100</f>
        <v>3.15</v>
      </c>
      <c r="H131" s="49">
        <f>F131*6.4/100</f>
        <v>9.6</v>
      </c>
      <c r="I131" s="49">
        <f>F131*18.5/100</f>
        <v>27.75</v>
      </c>
      <c r="J131" s="49">
        <f t="shared" si="69"/>
        <v>210</v>
      </c>
      <c r="K131" s="61" t="s">
        <v>104</v>
      </c>
      <c r="L131" s="57">
        <v>13.82</v>
      </c>
    </row>
    <row r="132" spans="1:12" ht="14.4">
      <c r="A132" s="20"/>
      <c r="B132" s="13"/>
      <c r="C132" s="11"/>
      <c r="D132" s="7" t="s">
        <v>30</v>
      </c>
      <c r="E132" s="51" t="s">
        <v>59</v>
      </c>
      <c r="F132" s="48">
        <v>200</v>
      </c>
      <c r="G132" s="49">
        <f>F132*0.6/200</f>
        <v>0.6</v>
      </c>
      <c r="H132" s="49">
        <f>F132*0.1/200</f>
        <v>0.1</v>
      </c>
      <c r="I132" s="49">
        <f>F132*20.1/200</f>
        <v>20.100000000000001</v>
      </c>
      <c r="J132" s="49">
        <f t="shared" si="69"/>
        <v>83.7</v>
      </c>
      <c r="K132" s="60" t="s">
        <v>64</v>
      </c>
      <c r="L132" s="57">
        <v>3.84</v>
      </c>
    </row>
    <row r="133" spans="1:12" ht="14.4">
      <c r="A133" s="20"/>
      <c r="B133" s="13"/>
      <c r="C133" s="11"/>
      <c r="D133" s="7" t="s">
        <v>31</v>
      </c>
      <c r="E133" s="47" t="s">
        <v>44</v>
      </c>
      <c r="F133" s="52">
        <v>40</v>
      </c>
      <c r="G133" s="49">
        <f>F133*7.6/100</f>
        <v>3.04</v>
      </c>
      <c r="H133" s="49">
        <f>F133*0.8/100</f>
        <v>0.32</v>
      </c>
      <c r="I133" s="49">
        <f>F133*49.2/100</f>
        <v>19.68</v>
      </c>
      <c r="J133" s="49">
        <f t="shared" si="69"/>
        <v>93.759999999999991</v>
      </c>
      <c r="K133" s="61" t="s">
        <v>51</v>
      </c>
      <c r="L133" s="57">
        <v>3.68</v>
      </c>
    </row>
    <row r="134" spans="1:12" ht="14.4">
      <c r="A134" s="20"/>
      <c r="B134" s="13"/>
      <c r="C134" s="11"/>
      <c r="D134" s="7" t="s">
        <v>32</v>
      </c>
      <c r="E134" s="47" t="s">
        <v>54</v>
      </c>
      <c r="F134" s="52">
        <v>20</v>
      </c>
      <c r="G134" s="49">
        <f>F134*8/100</f>
        <v>1.6</v>
      </c>
      <c r="H134" s="49">
        <f>F134*1.5/100</f>
        <v>0.3</v>
      </c>
      <c r="I134" s="49">
        <f>F134*40.1/100</f>
        <v>8.02</v>
      </c>
      <c r="J134" s="49">
        <f t="shared" si="69"/>
        <v>41.18</v>
      </c>
      <c r="K134" s="61" t="s">
        <v>52</v>
      </c>
      <c r="L134" s="57">
        <v>1.6</v>
      </c>
    </row>
    <row r="135" spans="1:12" ht="14.4">
      <c r="A135" s="20"/>
      <c r="B135" s="13"/>
      <c r="C135" s="11"/>
      <c r="D135" s="6"/>
      <c r="E135" s="38"/>
      <c r="F135" s="39"/>
      <c r="G135" s="39"/>
      <c r="H135" s="39"/>
      <c r="I135" s="39"/>
      <c r="J135" s="39"/>
      <c r="K135" s="40"/>
      <c r="L135" s="57"/>
    </row>
    <row r="136" spans="1:12" ht="14.4">
      <c r="A136" s="20"/>
      <c r="B136" s="13"/>
      <c r="C136" s="11"/>
      <c r="D136" s="6"/>
      <c r="E136" s="38"/>
      <c r="F136" s="39"/>
      <c r="G136" s="39"/>
      <c r="H136" s="39"/>
      <c r="I136" s="39"/>
      <c r="J136" s="39"/>
      <c r="K136" s="40"/>
      <c r="L136" s="57"/>
    </row>
    <row r="137" spans="1:12" ht="14.4">
      <c r="A137" s="21"/>
      <c r="B137" s="14"/>
      <c r="C137" s="8"/>
      <c r="D137" s="15" t="s">
        <v>33</v>
      </c>
      <c r="E137" s="9"/>
      <c r="F137" s="16">
        <f>SUM(F128:F136)</f>
        <v>760</v>
      </c>
      <c r="G137" s="16">
        <f t="shared" ref="G137:J137" si="70">SUM(G128:G136)</f>
        <v>24.06</v>
      </c>
      <c r="H137" s="16">
        <f t="shared" si="70"/>
        <v>33.010000000000005</v>
      </c>
      <c r="I137" s="16">
        <f t="shared" si="70"/>
        <v>98.839999999999989</v>
      </c>
      <c r="J137" s="16">
        <f t="shared" si="70"/>
        <v>788.68999999999994</v>
      </c>
      <c r="K137" s="22"/>
      <c r="L137" s="58">
        <f t="shared" ref="L137" si="71">SUM(L128:L136)</f>
        <v>83.75</v>
      </c>
    </row>
    <row r="138" spans="1:12" ht="15" thickBot="1">
      <c r="A138" s="26">
        <f>A120</f>
        <v>2</v>
      </c>
      <c r="B138" s="27">
        <f>B120</f>
        <v>7</v>
      </c>
      <c r="C138" s="78" t="s">
        <v>4</v>
      </c>
      <c r="D138" s="79"/>
      <c r="E138" s="28"/>
      <c r="F138" s="29">
        <f>F127+F137</f>
        <v>760</v>
      </c>
      <c r="G138" s="29">
        <f t="shared" ref="G138" si="72">G127+G137</f>
        <v>24.06</v>
      </c>
      <c r="H138" s="29">
        <f t="shared" ref="H138" si="73">H127+H137</f>
        <v>33.010000000000005</v>
      </c>
      <c r="I138" s="29">
        <f t="shared" ref="I138" si="74">I127+I137</f>
        <v>98.839999999999989</v>
      </c>
      <c r="J138" s="29">
        <f t="shared" ref="J138:L138" si="75">J127+J137</f>
        <v>788.68999999999994</v>
      </c>
      <c r="K138" s="62"/>
      <c r="L138" s="59">
        <f t="shared" si="75"/>
        <v>83.75</v>
      </c>
    </row>
    <row r="139" spans="1:12" ht="14.4">
      <c r="A139" s="17">
        <v>2</v>
      </c>
      <c r="B139" s="18">
        <v>8</v>
      </c>
      <c r="C139" s="19" t="s">
        <v>20</v>
      </c>
      <c r="D139" s="5" t="s">
        <v>21</v>
      </c>
      <c r="E139" s="35"/>
      <c r="F139" s="36"/>
      <c r="G139" s="36"/>
      <c r="H139" s="36"/>
      <c r="I139" s="36"/>
      <c r="J139" s="36"/>
      <c r="K139" s="37"/>
      <c r="L139" s="56"/>
    </row>
    <row r="140" spans="1:12" ht="14.4">
      <c r="A140" s="20"/>
      <c r="B140" s="13"/>
      <c r="C140" s="11"/>
      <c r="D140" s="6"/>
      <c r="E140" s="38"/>
      <c r="F140" s="39"/>
      <c r="G140" s="39"/>
      <c r="H140" s="39"/>
      <c r="I140" s="39"/>
      <c r="J140" s="39"/>
      <c r="K140" s="40"/>
      <c r="L140" s="57"/>
    </row>
    <row r="141" spans="1:12" ht="14.4">
      <c r="A141" s="20"/>
      <c r="B141" s="13"/>
      <c r="C141" s="11"/>
      <c r="D141" s="7" t="s">
        <v>22</v>
      </c>
      <c r="E141" s="38"/>
      <c r="F141" s="39"/>
      <c r="G141" s="39"/>
      <c r="H141" s="39"/>
      <c r="I141" s="39"/>
      <c r="J141" s="39"/>
      <c r="K141" s="40"/>
      <c r="L141" s="57"/>
    </row>
    <row r="142" spans="1:12" ht="15.75" customHeight="1">
      <c r="A142" s="20"/>
      <c r="B142" s="13"/>
      <c r="C142" s="11"/>
      <c r="D142" s="7" t="s">
        <v>23</v>
      </c>
      <c r="E142" s="38"/>
      <c r="F142" s="39"/>
      <c r="G142" s="39"/>
      <c r="H142" s="39"/>
      <c r="I142" s="39"/>
      <c r="J142" s="39"/>
      <c r="K142" s="40"/>
      <c r="L142" s="57"/>
    </row>
    <row r="143" spans="1:12" ht="14.4">
      <c r="A143" s="20"/>
      <c r="B143" s="13"/>
      <c r="C143" s="11"/>
      <c r="D143" s="7" t="s">
        <v>24</v>
      </c>
      <c r="E143" s="38"/>
      <c r="F143" s="39"/>
      <c r="G143" s="39"/>
      <c r="H143" s="39"/>
      <c r="I143" s="39"/>
      <c r="J143" s="39"/>
      <c r="K143" s="40"/>
      <c r="L143" s="57"/>
    </row>
    <row r="144" spans="1:12" ht="14.4">
      <c r="A144" s="20"/>
      <c r="B144" s="13"/>
      <c r="C144" s="11"/>
      <c r="D144" s="6"/>
      <c r="E144" s="38"/>
      <c r="F144" s="39"/>
      <c r="G144" s="39"/>
      <c r="H144" s="39"/>
      <c r="I144" s="39"/>
      <c r="J144" s="39"/>
      <c r="K144" s="40"/>
      <c r="L144" s="57"/>
    </row>
    <row r="145" spans="1:12" ht="14.4">
      <c r="A145" s="20"/>
      <c r="B145" s="13"/>
      <c r="C145" s="11"/>
      <c r="D145" s="6"/>
      <c r="E145" s="38"/>
      <c r="F145" s="39"/>
      <c r="G145" s="39"/>
      <c r="H145" s="39"/>
      <c r="I145" s="39"/>
      <c r="J145" s="39"/>
      <c r="K145" s="40"/>
      <c r="L145" s="57"/>
    </row>
    <row r="146" spans="1:12" ht="14.4">
      <c r="A146" s="21"/>
      <c r="B146" s="14"/>
      <c r="C146" s="8"/>
      <c r="D146" s="15" t="s">
        <v>33</v>
      </c>
      <c r="E146" s="9"/>
      <c r="F146" s="16">
        <f>SUM(F139:F145)</f>
        <v>0</v>
      </c>
      <c r="G146" s="16">
        <f t="shared" ref="G146:J146" si="76">SUM(G139:G145)</f>
        <v>0</v>
      </c>
      <c r="H146" s="16">
        <f t="shared" si="76"/>
        <v>0</v>
      </c>
      <c r="I146" s="16">
        <f t="shared" si="76"/>
        <v>0</v>
      </c>
      <c r="J146" s="16">
        <f t="shared" si="76"/>
        <v>0</v>
      </c>
      <c r="K146" s="22"/>
      <c r="L146" s="58">
        <f t="shared" ref="L146" si="77">SUM(L139:L145)</f>
        <v>0</v>
      </c>
    </row>
    <row r="147" spans="1:12" ht="14.4">
      <c r="A147" s="23">
        <f>A139</f>
        <v>2</v>
      </c>
      <c r="B147" s="12">
        <f>B139</f>
        <v>8</v>
      </c>
      <c r="C147" s="10" t="s">
        <v>25</v>
      </c>
      <c r="D147" s="7" t="s">
        <v>26</v>
      </c>
      <c r="E147" s="51" t="s">
        <v>105</v>
      </c>
      <c r="F147" s="52">
        <v>60</v>
      </c>
      <c r="G147" s="49">
        <f>F147*0.8/100</f>
        <v>0.48</v>
      </c>
      <c r="H147" s="49">
        <f>F147*6/100</f>
        <v>3.6</v>
      </c>
      <c r="I147" s="49">
        <f>F147*2.6/100</f>
        <v>1.56</v>
      </c>
      <c r="J147" s="49">
        <f t="shared" ref="J147:J153" si="78">G147*4+H147*9+I147*4</f>
        <v>40.56</v>
      </c>
      <c r="K147" s="60" t="s">
        <v>109</v>
      </c>
      <c r="L147" s="57">
        <v>9.34</v>
      </c>
    </row>
    <row r="148" spans="1:12" ht="14.4">
      <c r="A148" s="20"/>
      <c r="B148" s="13"/>
      <c r="C148" s="11"/>
      <c r="D148" s="7" t="s">
        <v>27</v>
      </c>
      <c r="E148" s="51" t="s">
        <v>76</v>
      </c>
      <c r="F148" s="48">
        <v>200</v>
      </c>
      <c r="G148" s="49">
        <f>F148*1.05/100</f>
        <v>2.1</v>
      </c>
      <c r="H148" s="49">
        <f>F148*2.04/100</f>
        <v>4.08</v>
      </c>
      <c r="I148" s="49">
        <f>F148*5.3/100</f>
        <v>10.6</v>
      </c>
      <c r="J148" s="50">
        <f t="shared" si="78"/>
        <v>87.52</v>
      </c>
      <c r="K148" s="68" t="s">
        <v>81</v>
      </c>
      <c r="L148" s="57">
        <v>10.82</v>
      </c>
    </row>
    <row r="149" spans="1:12" ht="14.4">
      <c r="A149" s="20"/>
      <c r="B149" s="13"/>
      <c r="C149" s="11"/>
      <c r="D149" s="7" t="s">
        <v>28</v>
      </c>
      <c r="E149" s="51" t="s">
        <v>106</v>
      </c>
      <c r="F149" s="48">
        <v>90</v>
      </c>
      <c r="G149" s="49">
        <f>F149*12/100</f>
        <v>10.8</v>
      </c>
      <c r="H149" s="49">
        <f>F149*24/100</f>
        <v>21.6</v>
      </c>
      <c r="I149" s="49">
        <f>F149*5/100</f>
        <v>4.5</v>
      </c>
      <c r="J149" s="49">
        <f t="shared" si="78"/>
        <v>255.60000000000002</v>
      </c>
      <c r="K149" s="60" t="s">
        <v>110</v>
      </c>
      <c r="L149" s="57">
        <v>46.9</v>
      </c>
    </row>
    <row r="150" spans="1:12" ht="14.4">
      <c r="A150" s="20"/>
      <c r="B150" s="13"/>
      <c r="C150" s="11"/>
      <c r="D150" s="7" t="s">
        <v>29</v>
      </c>
      <c r="E150" s="47" t="s">
        <v>107</v>
      </c>
      <c r="F150" s="48">
        <v>150</v>
      </c>
      <c r="G150" s="49">
        <f>F150*5.67/100</f>
        <v>8.5050000000000008</v>
      </c>
      <c r="H150" s="49">
        <f>F150*4.24/100</f>
        <v>6.36</v>
      </c>
      <c r="I150" s="49">
        <f>F150*25.13/100</f>
        <v>37.695</v>
      </c>
      <c r="J150" s="49">
        <f t="shared" si="78"/>
        <v>242.04000000000002</v>
      </c>
      <c r="K150" s="61" t="s">
        <v>111</v>
      </c>
      <c r="L150" s="57">
        <v>8.9600000000000009</v>
      </c>
    </row>
    <row r="151" spans="1:12" ht="14.4">
      <c r="A151" s="20"/>
      <c r="B151" s="13"/>
      <c r="C151" s="11"/>
      <c r="D151" s="7" t="s">
        <v>30</v>
      </c>
      <c r="E151" s="47" t="s">
        <v>108</v>
      </c>
      <c r="F151" s="48">
        <v>200</v>
      </c>
      <c r="G151" s="49">
        <f>F151*0.3/200</f>
        <v>0.3</v>
      </c>
      <c r="H151" s="49">
        <f>F151*0.1/200</f>
        <v>0.1</v>
      </c>
      <c r="I151" s="49">
        <f>F151*9.5/200</f>
        <v>9.5</v>
      </c>
      <c r="J151" s="49">
        <f t="shared" si="78"/>
        <v>40.1</v>
      </c>
      <c r="K151" s="61" t="s">
        <v>112</v>
      </c>
      <c r="L151" s="57">
        <v>2.4500000000000002</v>
      </c>
    </row>
    <row r="152" spans="1:12" ht="14.4">
      <c r="A152" s="20"/>
      <c r="B152" s="13"/>
      <c r="C152" s="11"/>
      <c r="D152" s="7" t="s">
        <v>31</v>
      </c>
      <c r="E152" s="47" t="s">
        <v>44</v>
      </c>
      <c r="F152" s="52">
        <v>40</v>
      </c>
      <c r="G152" s="49">
        <f>F152*7.6/100</f>
        <v>3.04</v>
      </c>
      <c r="H152" s="49">
        <f>F152*0.8/100</f>
        <v>0.32</v>
      </c>
      <c r="I152" s="49">
        <f>F152*49.2/100</f>
        <v>19.68</v>
      </c>
      <c r="J152" s="49">
        <f t="shared" si="78"/>
        <v>93.759999999999991</v>
      </c>
      <c r="K152" s="61" t="s">
        <v>51</v>
      </c>
      <c r="L152" s="57">
        <v>3.68</v>
      </c>
    </row>
    <row r="153" spans="1:12" ht="14.4">
      <c r="A153" s="20"/>
      <c r="B153" s="13"/>
      <c r="C153" s="11"/>
      <c r="D153" s="7" t="s">
        <v>32</v>
      </c>
      <c r="E153" s="47" t="s">
        <v>54</v>
      </c>
      <c r="F153" s="52">
        <v>20</v>
      </c>
      <c r="G153" s="49">
        <f>F153*8/100</f>
        <v>1.6</v>
      </c>
      <c r="H153" s="49">
        <f>F153*1.5/100</f>
        <v>0.3</v>
      </c>
      <c r="I153" s="49">
        <f>F153*40.1/100</f>
        <v>8.02</v>
      </c>
      <c r="J153" s="49">
        <f t="shared" si="78"/>
        <v>41.18</v>
      </c>
      <c r="K153" s="61" t="s">
        <v>52</v>
      </c>
      <c r="L153" s="57">
        <v>1.6</v>
      </c>
    </row>
    <row r="154" spans="1:12" ht="14.4">
      <c r="A154" s="20"/>
      <c r="B154" s="13"/>
      <c r="C154" s="11"/>
      <c r="D154" s="6"/>
      <c r="E154" s="38"/>
      <c r="F154" s="39"/>
      <c r="G154" s="39"/>
      <c r="H154" s="39"/>
      <c r="I154" s="39"/>
      <c r="J154" s="39"/>
      <c r="K154" s="40"/>
      <c r="L154" s="57"/>
    </row>
    <row r="155" spans="1:12" ht="14.4">
      <c r="A155" s="20"/>
      <c r="B155" s="13"/>
      <c r="C155" s="11"/>
      <c r="D155" s="6"/>
      <c r="E155" s="38"/>
      <c r="F155" s="39"/>
      <c r="G155" s="39"/>
      <c r="H155" s="39"/>
      <c r="I155" s="39"/>
      <c r="J155" s="39"/>
      <c r="K155" s="40"/>
      <c r="L155" s="57"/>
    </row>
    <row r="156" spans="1:12" ht="14.4">
      <c r="A156" s="21"/>
      <c r="B156" s="14"/>
      <c r="C156" s="8"/>
      <c r="D156" s="15" t="s">
        <v>33</v>
      </c>
      <c r="E156" s="9"/>
      <c r="F156" s="16">
        <f>SUM(F147:F155)</f>
        <v>760</v>
      </c>
      <c r="G156" s="16">
        <f t="shared" ref="G156:J156" si="79">SUM(G147:G155)</f>
        <v>26.825000000000003</v>
      </c>
      <c r="H156" s="16">
        <f t="shared" si="79"/>
        <v>36.36</v>
      </c>
      <c r="I156" s="16">
        <f t="shared" si="79"/>
        <v>91.554999999999993</v>
      </c>
      <c r="J156" s="16">
        <f t="shared" si="79"/>
        <v>800.76</v>
      </c>
      <c r="K156" s="22"/>
      <c r="L156" s="58">
        <f t="shared" ref="L156" si="80">SUM(L147:L155)</f>
        <v>83.750000000000014</v>
      </c>
    </row>
    <row r="157" spans="1:12" ht="14.4">
      <c r="A157" s="26">
        <f>A139</f>
        <v>2</v>
      </c>
      <c r="B157" s="27">
        <f>B139</f>
        <v>8</v>
      </c>
      <c r="C157" s="78" t="s">
        <v>4</v>
      </c>
      <c r="D157" s="79"/>
      <c r="E157" s="28"/>
      <c r="F157" s="29">
        <f>F146+F156</f>
        <v>760</v>
      </c>
      <c r="G157" s="29">
        <f t="shared" ref="G157" si="81">G146+G156</f>
        <v>26.825000000000003</v>
      </c>
      <c r="H157" s="29">
        <f t="shared" ref="H157" si="82">H146+H156</f>
        <v>36.36</v>
      </c>
      <c r="I157" s="29">
        <f t="shared" ref="I157" si="83">I146+I156</f>
        <v>91.554999999999993</v>
      </c>
      <c r="J157" s="29">
        <f t="shared" ref="J157:L157" si="84">J146+J156</f>
        <v>800.76</v>
      </c>
      <c r="K157" s="62"/>
      <c r="L157" s="59">
        <f t="shared" si="84"/>
        <v>83.750000000000014</v>
      </c>
    </row>
    <row r="158" spans="1:12" ht="14.4">
      <c r="A158" s="17">
        <v>2</v>
      </c>
      <c r="B158" s="18">
        <v>9</v>
      </c>
      <c r="C158" s="19" t="s">
        <v>20</v>
      </c>
      <c r="D158" s="5" t="s">
        <v>21</v>
      </c>
      <c r="E158" s="35"/>
      <c r="F158" s="36"/>
      <c r="G158" s="36"/>
      <c r="H158" s="36"/>
      <c r="I158" s="36"/>
      <c r="J158" s="36"/>
      <c r="K158" s="37"/>
      <c r="L158" s="56"/>
    </row>
    <row r="159" spans="1:12" ht="14.4">
      <c r="A159" s="20"/>
      <c r="B159" s="13"/>
      <c r="C159" s="11"/>
      <c r="D159" s="6"/>
      <c r="E159" s="38"/>
      <c r="F159" s="39"/>
      <c r="G159" s="39"/>
      <c r="H159" s="39"/>
      <c r="I159" s="39"/>
      <c r="J159" s="39"/>
      <c r="K159" s="40"/>
      <c r="L159" s="57"/>
    </row>
    <row r="160" spans="1:12" ht="14.4">
      <c r="A160" s="20"/>
      <c r="B160" s="13"/>
      <c r="C160" s="11"/>
      <c r="D160" s="7" t="s">
        <v>22</v>
      </c>
      <c r="E160" s="38"/>
      <c r="F160" s="39"/>
      <c r="G160" s="39"/>
      <c r="H160" s="39"/>
      <c r="I160" s="39"/>
      <c r="J160" s="39"/>
      <c r="K160" s="40"/>
      <c r="L160" s="57"/>
    </row>
    <row r="161" spans="1:12" ht="14.4">
      <c r="A161" s="20"/>
      <c r="B161" s="13"/>
      <c r="C161" s="11"/>
      <c r="D161" s="7" t="s">
        <v>23</v>
      </c>
      <c r="E161" s="38"/>
      <c r="F161" s="39"/>
      <c r="G161" s="39"/>
      <c r="H161" s="39"/>
      <c r="I161" s="39"/>
      <c r="J161" s="39"/>
      <c r="K161" s="40"/>
      <c r="L161" s="57"/>
    </row>
    <row r="162" spans="1:12" ht="14.4">
      <c r="A162" s="20"/>
      <c r="B162" s="13"/>
      <c r="C162" s="11"/>
      <c r="D162" s="7" t="s">
        <v>24</v>
      </c>
      <c r="E162" s="38"/>
      <c r="F162" s="39"/>
      <c r="G162" s="39"/>
      <c r="H162" s="39"/>
      <c r="I162" s="39"/>
      <c r="J162" s="39"/>
      <c r="K162" s="40"/>
      <c r="L162" s="57"/>
    </row>
    <row r="163" spans="1:12" ht="14.4">
      <c r="A163" s="20"/>
      <c r="B163" s="13"/>
      <c r="C163" s="11"/>
      <c r="D163" s="6"/>
      <c r="E163" s="38"/>
      <c r="F163" s="39"/>
      <c r="G163" s="39"/>
      <c r="H163" s="39"/>
      <c r="I163" s="39"/>
      <c r="J163" s="39"/>
      <c r="K163" s="40"/>
      <c r="L163" s="57"/>
    </row>
    <row r="164" spans="1:12" ht="14.4">
      <c r="A164" s="20"/>
      <c r="B164" s="13"/>
      <c r="C164" s="11"/>
      <c r="D164" s="6"/>
      <c r="E164" s="38"/>
      <c r="F164" s="39"/>
      <c r="G164" s="39"/>
      <c r="H164" s="39"/>
      <c r="I164" s="39"/>
      <c r="J164" s="39"/>
      <c r="K164" s="40"/>
      <c r="L164" s="57"/>
    </row>
    <row r="165" spans="1:12" ht="14.4">
      <c r="A165" s="21"/>
      <c r="B165" s="14"/>
      <c r="C165" s="8"/>
      <c r="D165" s="15" t="s">
        <v>33</v>
      </c>
      <c r="E165" s="9"/>
      <c r="F165" s="16">
        <f>SUM(F158:F164)</f>
        <v>0</v>
      </c>
      <c r="G165" s="16">
        <f t="shared" ref="G165:J165" si="85">SUM(G158:G164)</f>
        <v>0</v>
      </c>
      <c r="H165" s="16">
        <f t="shared" si="85"/>
        <v>0</v>
      </c>
      <c r="I165" s="16">
        <f t="shared" si="85"/>
        <v>0</v>
      </c>
      <c r="J165" s="16">
        <f t="shared" si="85"/>
        <v>0</v>
      </c>
      <c r="K165" s="22"/>
      <c r="L165" s="58">
        <f t="shared" ref="L165" si="86">SUM(L158:L164)</f>
        <v>0</v>
      </c>
    </row>
    <row r="166" spans="1:12" ht="14.4">
      <c r="A166" s="23">
        <f>A158</f>
        <v>2</v>
      </c>
      <c r="B166" s="12">
        <f>B158</f>
        <v>9</v>
      </c>
      <c r="C166" s="10" t="s">
        <v>25</v>
      </c>
      <c r="D166" s="7" t="s">
        <v>26</v>
      </c>
      <c r="E166" s="69" t="s">
        <v>113</v>
      </c>
      <c r="F166" s="52">
        <v>60</v>
      </c>
      <c r="G166" s="50">
        <f>F166*1.3/100</f>
        <v>0.78</v>
      </c>
      <c r="H166" s="50">
        <f>F166*9.9/100</f>
        <v>5.94</v>
      </c>
      <c r="I166" s="50">
        <f>F166*8.4/100</f>
        <v>5.04</v>
      </c>
      <c r="J166" s="50">
        <f t="shared" ref="J166:J172" si="87">G166*4+H166*9+I166*4</f>
        <v>76.739999999999995</v>
      </c>
      <c r="K166" s="60" t="s">
        <v>117</v>
      </c>
      <c r="L166" s="57">
        <v>5.36</v>
      </c>
    </row>
    <row r="167" spans="1:12" ht="14.4">
      <c r="A167" s="20"/>
      <c r="B167" s="13"/>
      <c r="C167" s="11"/>
      <c r="D167" s="7" t="s">
        <v>27</v>
      </c>
      <c r="E167" s="70" t="s">
        <v>114</v>
      </c>
      <c r="F167" s="52">
        <v>200</v>
      </c>
      <c r="G167" s="49">
        <f>F167*1.6/100</f>
        <v>3.2</v>
      </c>
      <c r="H167" s="49">
        <f>F167*1.4/100</f>
        <v>2.8</v>
      </c>
      <c r="I167" s="49">
        <f>F167*3.78/100</f>
        <v>7.56</v>
      </c>
      <c r="J167" s="50">
        <f t="shared" si="87"/>
        <v>68.239999999999995</v>
      </c>
      <c r="K167" s="68" t="s">
        <v>118</v>
      </c>
      <c r="L167" s="57">
        <v>10.63</v>
      </c>
    </row>
    <row r="168" spans="1:12" ht="14.4">
      <c r="A168" s="20"/>
      <c r="B168" s="13"/>
      <c r="C168" s="11"/>
      <c r="D168" s="7" t="s">
        <v>28</v>
      </c>
      <c r="E168" s="51" t="s">
        <v>58</v>
      </c>
      <c r="F168" s="48">
        <v>150</v>
      </c>
      <c r="G168" s="49">
        <f>F168*2.1/100</f>
        <v>3.15</v>
      </c>
      <c r="H168" s="49">
        <f>F168*3.5/100</f>
        <v>5.25</v>
      </c>
      <c r="I168" s="49">
        <f>F168*14.6/100</f>
        <v>21.9</v>
      </c>
      <c r="J168" s="49">
        <f t="shared" si="87"/>
        <v>147.44999999999999</v>
      </c>
      <c r="K168" s="60" t="s">
        <v>63</v>
      </c>
      <c r="L168" s="57">
        <v>15.36</v>
      </c>
    </row>
    <row r="169" spans="1:12" ht="14.4">
      <c r="A169" s="20"/>
      <c r="B169" s="13"/>
      <c r="C169" s="11"/>
      <c r="D169" s="7" t="s">
        <v>29</v>
      </c>
      <c r="E169" s="51" t="s">
        <v>115</v>
      </c>
      <c r="F169" s="48">
        <v>90</v>
      </c>
      <c r="G169" s="49">
        <f>F169*12.8/100</f>
        <v>11.52</v>
      </c>
      <c r="H169" s="49">
        <f>F169*13.6/100</f>
        <v>12.24</v>
      </c>
      <c r="I169" s="49">
        <f>F169*9.9/100</f>
        <v>8.91</v>
      </c>
      <c r="J169" s="49">
        <f t="shared" si="87"/>
        <v>191.88</v>
      </c>
      <c r="K169" s="60" t="s">
        <v>119</v>
      </c>
      <c r="L169" s="57">
        <v>43.22</v>
      </c>
    </row>
    <row r="170" spans="1:12" ht="14.4">
      <c r="A170" s="20"/>
      <c r="B170" s="13"/>
      <c r="C170" s="11"/>
      <c r="D170" s="7" t="s">
        <v>30</v>
      </c>
      <c r="E170" s="47" t="s">
        <v>116</v>
      </c>
      <c r="F170" s="48">
        <v>200</v>
      </c>
      <c r="G170" s="49">
        <f>F170*0.1/200</f>
        <v>0.1</v>
      </c>
      <c r="H170" s="71">
        <f>F170*0/100</f>
        <v>0</v>
      </c>
      <c r="I170" s="49">
        <f>F170*24.2/200</f>
        <v>24.2</v>
      </c>
      <c r="J170" s="49">
        <f t="shared" si="87"/>
        <v>97.2</v>
      </c>
      <c r="K170" s="61" t="s">
        <v>120</v>
      </c>
      <c r="L170" s="57">
        <v>3.9</v>
      </c>
    </row>
    <row r="171" spans="1:12" ht="14.4">
      <c r="A171" s="20"/>
      <c r="B171" s="13"/>
      <c r="C171" s="11"/>
      <c r="D171" s="7" t="s">
        <v>31</v>
      </c>
      <c r="E171" s="47" t="s">
        <v>44</v>
      </c>
      <c r="F171" s="52">
        <v>40</v>
      </c>
      <c r="G171" s="49">
        <f>F171*7.6/100</f>
        <v>3.04</v>
      </c>
      <c r="H171" s="49">
        <f>F171*0.8/100</f>
        <v>0.32</v>
      </c>
      <c r="I171" s="49">
        <f>F171*49.2/100</f>
        <v>19.68</v>
      </c>
      <c r="J171" s="49">
        <f t="shared" si="87"/>
        <v>93.759999999999991</v>
      </c>
      <c r="K171" s="61" t="s">
        <v>51</v>
      </c>
      <c r="L171" s="57">
        <v>3.68</v>
      </c>
    </row>
    <row r="172" spans="1:12" ht="14.4">
      <c r="A172" s="20"/>
      <c r="B172" s="13"/>
      <c r="C172" s="11"/>
      <c r="D172" s="7" t="s">
        <v>32</v>
      </c>
      <c r="E172" s="47" t="s">
        <v>54</v>
      </c>
      <c r="F172" s="52">
        <v>20</v>
      </c>
      <c r="G172" s="49">
        <f>F172*8/100</f>
        <v>1.6</v>
      </c>
      <c r="H172" s="49">
        <f>F172*1.5/100</f>
        <v>0.3</v>
      </c>
      <c r="I172" s="49">
        <f>F172*40.1/100</f>
        <v>8.02</v>
      </c>
      <c r="J172" s="49">
        <f t="shared" si="87"/>
        <v>41.18</v>
      </c>
      <c r="K172" s="61" t="s">
        <v>52</v>
      </c>
      <c r="L172" s="57">
        <v>1.6</v>
      </c>
    </row>
    <row r="173" spans="1:12" ht="14.4">
      <c r="A173" s="20"/>
      <c r="B173" s="13"/>
      <c r="C173" s="11"/>
      <c r="D173" s="6"/>
      <c r="E173" s="38"/>
      <c r="F173" s="39"/>
      <c r="G173" s="39"/>
      <c r="H173" s="39"/>
      <c r="I173" s="39"/>
      <c r="J173" s="39"/>
      <c r="K173" s="40"/>
      <c r="L173" s="57"/>
    </row>
    <row r="174" spans="1:12" ht="14.4">
      <c r="A174" s="20"/>
      <c r="B174" s="13"/>
      <c r="C174" s="11"/>
      <c r="D174" s="6"/>
      <c r="E174" s="38"/>
      <c r="F174" s="39"/>
      <c r="G174" s="39"/>
      <c r="H174" s="39"/>
      <c r="I174" s="39"/>
      <c r="J174" s="39"/>
      <c r="K174" s="40"/>
      <c r="L174" s="57"/>
    </row>
    <row r="175" spans="1:12" ht="14.4">
      <c r="A175" s="21"/>
      <c r="B175" s="14"/>
      <c r="C175" s="8"/>
      <c r="D175" s="15" t="s">
        <v>33</v>
      </c>
      <c r="E175" s="9"/>
      <c r="F175" s="16">
        <f>SUM(F166:F174)</f>
        <v>760</v>
      </c>
      <c r="G175" s="16">
        <f t="shared" ref="G175:J175" si="88">SUM(G166:G174)</f>
        <v>23.39</v>
      </c>
      <c r="H175" s="16">
        <f t="shared" si="88"/>
        <v>26.85</v>
      </c>
      <c r="I175" s="16">
        <f t="shared" si="88"/>
        <v>95.309999999999988</v>
      </c>
      <c r="J175" s="16">
        <f t="shared" si="88"/>
        <v>716.44999999999993</v>
      </c>
      <c r="K175" s="22"/>
      <c r="L175" s="58">
        <f t="shared" ref="L175" si="89">SUM(L166:L174)</f>
        <v>83.75</v>
      </c>
    </row>
    <row r="176" spans="1:12" ht="14.4">
      <c r="A176" s="26">
        <f>A158</f>
        <v>2</v>
      </c>
      <c r="B176" s="27">
        <f>B158</f>
        <v>9</v>
      </c>
      <c r="C176" s="78" t="s">
        <v>4</v>
      </c>
      <c r="D176" s="79"/>
      <c r="E176" s="28"/>
      <c r="F176" s="29">
        <f>F165+F175</f>
        <v>760</v>
      </c>
      <c r="G176" s="29">
        <f t="shared" ref="G176" si="90">G165+G175</f>
        <v>23.39</v>
      </c>
      <c r="H176" s="29">
        <f t="shared" ref="H176" si="91">H165+H175</f>
        <v>26.85</v>
      </c>
      <c r="I176" s="29">
        <f t="shared" ref="I176" si="92">I165+I175</f>
        <v>95.309999999999988</v>
      </c>
      <c r="J176" s="29">
        <f t="shared" ref="J176:L176" si="93">J165+J175</f>
        <v>716.44999999999993</v>
      </c>
      <c r="K176" s="62"/>
      <c r="L176" s="59">
        <f t="shared" si="93"/>
        <v>83.75</v>
      </c>
    </row>
    <row r="177" spans="1:16" ht="14.4">
      <c r="A177" s="17">
        <v>2</v>
      </c>
      <c r="B177" s="18">
        <v>10</v>
      </c>
      <c r="C177" s="19" t="s">
        <v>20</v>
      </c>
      <c r="D177" s="5" t="s">
        <v>21</v>
      </c>
      <c r="E177" s="35"/>
      <c r="F177" s="36"/>
      <c r="G177" s="36"/>
      <c r="H177" s="36"/>
      <c r="I177" s="36"/>
      <c r="J177" s="36"/>
      <c r="K177" s="37"/>
      <c r="L177" s="56"/>
    </row>
    <row r="178" spans="1:16" ht="14.4">
      <c r="A178" s="20"/>
      <c r="B178" s="13"/>
      <c r="C178" s="11"/>
      <c r="D178" s="6"/>
      <c r="E178" s="38"/>
      <c r="F178" s="39"/>
      <c r="G178" s="39"/>
      <c r="H178" s="39"/>
      <c r="I178" s="39"/>
      <c r="J178" s="39"/>
      <c r="K178" s="40"/>
      <c r="L178" s="57"/>
    </row>
    <row r="179" spans="1:16" ht="14.4">
      <c r="A179" s="20"/>
      <c r="B179" s="13"/>
      <c r="C179" s="11"/>
      <c r="D179" s="7" t="s">
        <v>22</v>
      </c>
      <c r="E179" s="38"/>
      <c r="F179" s="39"/>
      <c r="G179" s="39"/>
      <c r="H179" s="39"/>
      <c r="I179" s="39"/>
      <c r="J179" s="39"/>
      <c r="K179" s="40"/>
      <c r="L179" s="57"/>
    </row>
    <row r="180" spans="1:16" ht="14.4">
      <c r="A180" s="20"/>
      <c r="B180" s="13"/>
      <c r="C180" s="11"/>
      <c r="D180" s="7" t="s">
        <v>23</v>
      </c>
      <c r="E180" s="38"/>
      <c r="F180" s="39"/>
      <c r="G180" s="39"/>
      <c r="H180" s="39"/>
      <c r="I180" s="39"/>
      <c r="J180" s="39"/>
      <c r="K180" s="40"/>
      <c r="L180" s="57"/>
    </row>
    <row r="181" spans="1:16" ht="14.4">
      <c r="A181" s="20"/>
      <c r="B181" s="13"/>
      <c r="C181" s="11"/>
      <c r="D181" s="7" t="s">
        <v>24</v>
      </c>
      <c r="E181" s="38"/>
      <c r="F181" s="39"/>
      <c r="G181" s="39"/>
      <c r="H181" s="39"/>
      <c r="I181" s="39"/>
      <c r="J181" s="39"/>
      <c r="K181" s="40"/>
      <c r="L181" s="57"/>
    </row>
    <row r="182" spans="1:16" ht="14.4">
      <c r="A182" s="20"/>
      <c r="B182" s="13"/>
      <c r="C182" s="11"/>
      <c r="D182" s="6"/>
      <c r="E182" s="38"/>
      <c r="F182" s="39"/>
      <c r="G182" s="39"/>
      <c r="H182" s="39"/>
      <c r="I182" s="39"/>
      <c r="J182" s="39"/>
      <c r="K182" s="40"/>
      <c r="L182" s="57"/>
    </row>
    <row r="183" spans="1:16" ht="14.4">
      <c r="A183" s="20"/>
      <c r="B183" s="13"/>
      <c r="C183" s="11"/>
      <c r="D183" s="6"/>
      <c r="E183" s="38"/>
      <c r="F183" s="39"/>
      <c r="G183" s="39"/>
      <c r="H183" s="39"/>
      <c r="I183" s="39"/>
      <c r="J183" s="39"/>
      <c r="K183" s="40"/>
      <c r="L183" s="57"/>
    </row>
    <row r="184" spans="1:16" ht="15.75" customHeight="1">
      <c r="A184" s="21"/>
      <c r="B184" s="14"/>
      <c r="C184" s="8"/>
      <c r="D184" s="15" t="s">
        <v>33</v>
      </c>
      <c r="E184" s="9"/>
      <c r="F184" s="16">
        <f>SUM(F177:F183)</f>
        <v>0</v>
      </c>
      <c r="G184" s="16">
        <f t="shared" ref="G184:J184" si="94">SUM(G177:G183)</f>
        <v>0</v>
      </c>
      <c r="H184" s="16">
        <f t="shared" si="94"/>
        <v>0</v>
      </c>
      <c r="I184" s="16">
        <f t="shared" si="94"/>
        <v>0</v>
      </c>
      <c r="J184" s="16">
        <f t="shared" si="94"/>
        <v>0</v>
      </c>
      <c r="K184" s="22"/>
      <c r="L184" s="58">
        <f t="shared" ref="L184" si="95">SUM(L177:L183)</f>
        <v>0</v>
      </c>
    </row>
    <row r="185" spans="1:16" ht="14.4">
      <c r="A185" s="23">
        <f>A177</f>
        <v>2</v>
      </c>
      <c r="B185" s="12">
        <f>B177</f>
        <v>10</v>
      </c>
      <c r="C185" s="10" t="s">
        <v>25</v>
      </c>
      <c r="D185" s="7" t="s">
        <v>26</v>
      </c>
      <c r="E185" s="47" t="s">
        <v>39</v>
      </c>
      <c r="F185" s="48">
        <v>60</v>
      </c>
      <c r="G185" s="49">
        <f>F185*1.45/100</f>
        <v>0.87</v>
      </c>
      <c r="H185" s="49">
        <f>F185*6/100</f>
        <v>3.6</v>
      </c>
      <c r="I185" s="49">
        <f>F185*8.4/100</f>
        <v>5.04</v>
      </c>
      <c r="J185" s="50">
        <f>G185*4+H185*9+I185*4</f>
        <v>56.039999999999992</v>
      </c>
      <c r="K185" s="60" t="s">
        <v>46</v>
      </c>
      <c r="L185" s="57">
        <v>4.9000000000000004</v>
      </c>
    </row>
    <row r="186" spans="1:16" ht="14.4">
      <c r="A186" s="20"/>
      <c r="B186" s="13"/>
      <c r="C186" s="11"/>
      <c r="D186" s="7" t="s">
        <v>27</v>
      </c>
      <c r="E186" s="51" t="s">
        <v>122</v>
      </c>
      <c r="F186" s="52">
        <v>200</v>
      </c>
      <c r="G186" s="49">
        <f>F186*0.8/100</f>
        <v>1.6</v>
      </c>
      <c r="H186" s="49">
        <f>F186*2.08/100</f>
        <v>4.16</v>
      </c>
      <c r="I186" s="49">
        <f>F186*5.24/100</f>
        <v>10.48</v>
      </c>
      <c r="J186" s="49">
        <f>G186*4+H186*9+I186*4</f>
        <v>85.759999999999991</v>
      </c>
      <c r="K186" s="60" t="s">
        <v>124</v>
      </c>
      <c r="L186" s="57">
        <v>11.08</v>
      </c>
    </row>
    <row r="187" spans="1:16" ht="14.4">
      <c r="A187" s="20"/>
      <c r="B187" s="13"/>
      <c r="C187" s="11"/>
      <c r="D187" s="7" t="s">
        <v>28</v>
      </c>
      <c r="E187" s="53" t="s">
        <v>123</v>
      </c>
      <c r="F187" s="48">
        <v>230</v>
      </c>
      <c r="G187" s="49">
        <f>F187*10.8/100</f>
        <v>24.84</v>
      </c>
      <c r="H187" s="48">
        <f>F187*5.9/100</f>
        <v>13.57</v>
      </c>
      <c r="I187" s="49">
        <f>F187*18.9/100</f>
        <v>43.47</v>
      </c>
      <c r="J187" s="49">
        <f>G187*4+H187*9+I187*4</f>
        <v>395.37</v>
      </c>
      <c r="K187" s="60" t="s">
        <v>125</v>
      </c>
      <c r="L187" s="57">
        <v>56.22</v>
      </c>
      <c r="P187" s="2" t="s">
        <v>121</v>
      </c>
    </row>
    <row r="188" spans="1:16" ht="14.4">
      <c r="A188" s="20"/>
      <c r="B188" s="13"/>
      <c r="C188" s="11"/>
      <c r="D188" s="7" t="s">
        <v>29</v>
      </c>
      <c r="E188" s="38"/>
      <c r="F188" s="39"/>
      <c r="G188" s="39"/>
      <c r="H188" s="39"/>
      <c r="I188" s="39"/>
      <c r="J188" s="39"/>
      <c r="K188" s="40"/>
      <c r="L188" s="57"/>
    </row>
    <row r="189" spans="1:16" ht="14.4">
      <c r="A189" s="20"/>
      <c r="B189" s="13"/>
      <c r="C189" s="11"/>
      <c r="D189" s="7" t="s">
        <v>30</v>
      </c>
      <c r="E189" s="51" t="s">
        <v>78</v>
      </c>
      <c r="F189" s="48">
        <v>200</v>
      </c>
      <c r="G189" s="49">
        <f>F189*0.67/200</f>
        <v>0.67</v>
      </c>
      <c r="H189" s="49">
        <f>F189*0.27/200</f>
        <v>0.27</v>
      </c>
      <c r="I189" s="49">
        <f>F189*18.3/200</f>
        <v>18.3</v>
      </c>
      <c r="J189" s="49">
        <f>G189*4+H189*9+I189*4</f>
        <v>78.31</v>
      </c>
      <c r="K189" s="60" t="s">
        <v>84</v>
      </c>
      <c r="L189" s="57">
        <v>6.27</v>
      </c>
    </row>
    <row r="190" spans="1:16" ht="14.4">
      <c r="A190" s="20"/>
      <c r="B190" s="13"/>
      <c r="C190" s="11"/>
      <c r="D190" s="7" t="s">
        <v>31</v>
      </c>
      <c r="E190" s="47" t="s">
        <v>44</v>
      </c>
      <c r="F190" s="52">
        <v>40</v>
      </c>
      <c r="G190" s="49">
        <f>F190*7.6/100</f>
        <v>3.04</v>
      </c>
      <c r="H190" s="49">
        <f>F190*0.8/100</f>
        <v>0.32</v>
      </c>
      <c r="I190" s="49">
        <f>F190*49.2/100</f>
        <v>19.68</v>
      </c>
      <c r="J190" s="49">
        <f>G190*4+H190*9+I190*4</f>
        <v>93.759999999999991</v>
      </c>
      <c r="K190" s="61" t="s">
        <v>51</v>
      </c>
      <c r="L190" s="57">
        <v>3.68</v>
      </c>
    </row>
    <row r="191" spans="1:16" ht="14.4">
      <c r="A191" s="20"/>
      <c r="B191" s="13"/>
      <c r="C191" s="11"/>
      <c r="D191" s="7" t="s">
        <v>32</v>
      </c>
      <c r="E191" s="47" t="s">
        <v>54</v>
      </c>
      <c r="F191" s="52">
        <v>20</v>
      </c>
      <c r="G191" s="49">
        <f>F191*8/100</f>
        <v>1.6</v>
      </c>
      <c r="H191" s="49">
        <f>F191*1.5/100</f>
        <v>0.3</v>
      </c>
      <c r="I191" s="49">
        <f>F191*40.1/100</f>
        <v>8.02</v>
      </c>
      <c r="J191" s="49">
        <f>G191*4+H191*9+I191*4</f>
        <v>41.18</v>
      </c>
      <c r="K191" s="61" t="s">
        <v>52</v>
      </c>
      <c r="L191" s="57">
        <v>1.6</v>
      </c>
    </row>
    <row r="192" spans="1:16" ht="14.4">
      <c r="A192" s="20"/>
      <c r="B192" s="13"/>
      <c r="C192" s="11"/>
      <c r="D192" s="6"/>
      <c r="E192" s="38"/>
      <c r="F192" s="39"/>
      <c r="G192" s="39"/>
      <c r="H192" s="39"/>
      <c r="I192" s="39"/>
      <c r="J192" s="39"/>
      <c r="K192" s="40"/>
      <c r="L192" s="57"/>
    </row>
    <row r="193" spans="1:12" ht="14.4">
      <c r="A193" s="20"/>
      <c r="B193" s="13"/>
      <c r="C193" s="11"/>
      <c r="D193" s="6"/>
      <c r="E193" s="38"/>
      <c r="F193" s="39"/>
      <c r="G193" s="39"/>
      <c r="H193" s="39"/>
      <c r="I193" s="39"/>
      <c r="J193" s="39"/>
      <c r="K193" s="40"/>
      <c r="L193" s="57"/>
    </row>
    <row r="194" spans="1:12" ht="14.4">
      <c r="A194" s="21"/>
      <c r="B194" s="14"/>
      <c r="C194" s="8"/>
      <c r="D194" s="15" t="s">
        <v>33</v>
      </c>
      <c r="E194" s="9"/>
      <c r="F194" s="16">
        <f>SUM(F185:F193)</f>
        <v>750</v>
      </c>
      <c r="G194" s="16">
        <f t="shared" ref="G194:J194" si="96">SUM(G185:G193)</f>
        <v>32.619999999999997</v>
      </c>
      <c r="H194" s="16">
        <f t="shared" si="96"/>
        <v>22.22</v>
      </c>
      <c r="I194" s="16">
        <f t="shared" si="96"/>
        <v>104.99</v>
      </c>
      <c r="J194" s="16">
        <f t="shared" si="96"/>
        <v>750.42</v>
      </c>
      <c r="K194" s="22"/>
      <c r="L194" s="58">
        <f t="shared" ref="L194" si="97">SUM(L185:L193)</f>
        <v>83.75</v>
      </c>
    </row>
    <row r="195" spans="1:12" ht="14.4">
      <c r="A195" s="26">
        <f>A177</f>
        <v>2</v>
      </c>
      <c r="B195" s="27">
        <f>B177</f>
        <v>10</v>
      </c>
      <c r="C195" s="78" t="s">
        <v>4</v>
      </c>
      <c r="D195" s="79"/>
      <c r="E195" s="28"/>
      <c r="F195" s="29">
        <f>F184+F194</f>
        <v>750</v>
      </c>
      <c r="G195" s="29">
        <f t="shared" ref="G195" si="98">G184+G194</f>
        <v>32.619999999999997</v>
      </c>
      <c r="H195" s="29">
        <f t="shared" ref="H195" si="99">H184+H194</f>
        <v>22.22</v>
      </c>
      <c r="I195" s="29">
        <f t="shared" ref="I195" si="100">I184+I194</f>
        <v>104.99</v>
      </c>
      <c r="J195" s="29">
        <f t="shared" ref="J195:L195" si="101">J184+J194</f>
        <v>750.42</v>
      </c>
      <c r="K195" s="62"/>
      <c r="L195" s="59">
        <f t="shared" si="101"/>
        <v>83.75</v>
      </c>
    </row>
    <row r="196" spans="1:12">
      <c r="A196" s="24"/>
      <c r="B196" s="25"/>
      <c r="C196" s="80" t="s">
        <v>5</v>
      </c>
      <c r="D196" s="80"/>
      <c r="E196" s="80"/>
      <c r="F196" s="30">
        <f>(F24+F43+F62+F81+F100+F119+F138+F157+F176+F195)/(IF(F24=0,0,1)+IF(F43=0,0,1)+IF(F62=0,0,1)+IF(F81=0,0,1)+IF(F100=0,0,1)+IF(F119=0,0,1)+IF(F138=0,0,1)+IF(F157=0,0,1)+IF(F176=0,0,1)+IF(F195=0,0,1))</f>
        <v>768</v>
      </c>
      <c r="G196" s="30">
        <f t="shared" ref="G196:J196" si="102">(G24+G43+G62+G81+G100+G119+G138+G157+G176+G195)/(IF(G24=0,0,1)+IF(G43=0,0,1)+IF(G62=0,0,1)+IF(G81=0,0,1)+IF(G100=0,0,1)+IF(G119=0,0,1)+IF(G138=0,0,1)+IF(G157=0,0,1)+IF(G176=0,0,1)+IF(G195=0,0,1))</f>
        <v>25.015499999999996</v>
      </c>
      <c r="H196" s="30">
        <f t="shared" si="102"/>
        <v>29.195500000000003</v>
      </c>
      <c r="I196" s="30">
        <f t="shared" si="102"/>
        <v>95.580699999999993</v>
      </c>
      <c r="J196" s="30">
        <f t="shared" si="102"/>
        <v>745.14429999999993</v>
      </c>
      <c r="K196" s="73"/>
      <c r="L196" s="72">
        <f t="shared" ref="L196" si="103">(L24+L43+L62+L81+L100+L119+L138+L157+L176+L195)/(IF(L24=0,0,1)+IF(L43=0,0,1)+IF(L62=0,0,1)+IF(L81=0,0,1)+IF(L100=0,0,1)+IF(L119=0,0,1)+IF(L138=0,0,1)+IF(L157=0,0,1)+IF(L176=0,0,1)+IF(L195=0,0,1))</f>
        <v>83.75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2023-11-02T10:14:54Z</dcterms:modified>
</cp:coreProperties>
</file>